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steve\Dropbox\Our Buying Secrets &amp; Importing for Profit Magazine\Our Buying Secrets Webinars\Webinar 5\Webinar 5 2019\"/>
    </mc:Choice>
  </mc:AlternateContent>
  <xr:revisionPtr revIDLastSave="0" documentId="13_ncr:1_{9C35EA92-8DEC-4B6B-A6FD-1446E1924491}" xr6:coauthVersionLast="43" xr6:coauthVersionMax="43" xr10:uidLastSave="{00000000-0000-0000-0000-000000000000}"/>
  <bookViews>
    <workbookView xWindow="-98" yWindow="-98" windowWidth="20715" windowHeight="13875" tabRatio="821" xr2:uid="{00000000-000D-0000-FFFF-FFFF00000000}"/>
  </bookViews>
  <sheets>
    <sheet name="Cost Model" sheetId="1" r:id="rId1"/>
    <sheet name="Landed Cost Study" sheetId="4" r:id="rId2"/>
  </sheets>
  <definedNames>
    <definedName name="_xlnm._FilterDatabase" localSheetId="0" hidden="1">'Cost Model'!$B$6:$Q$6</definedName>
    <definedName name="_xlnm.Print_Area" localSheetId="1">'Landed Cost Study'!$A$1:$O$18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3" i="1" l="1"/>
  <c r="K17" i="1"/>
  <c r="K15" i="1"/>
  <c r="K21" i="1"/>
  <c r="K18" i="1"/>
  <c r="K20" i="1"/>
  <c r="K12" i="1"/>
  <c r="K27" i="1"/>
  <c r="K23" i="1"/>
  <c r="K25" i="1"/>
  <c r="K14" i="1"/>
  <c r="K24" i="1"/>
  <c r="K16" i="1"/>
  <c r="K29" i="1"/>
  <c r="K22" i="1"/>
  <c r="K26" i="1"/>
  <c r="K28" i="1"/>
  <c r="K19" i="1"/>
  <c r="K9" i="1"/>
  <c r="K8" i="1"/>
  <c r="K7" i="1"/>
  <c r="K10" i="1"/>
  <c r="K11" i="1"/>
  <c r="K30" i="1"/>
  <c r="K31" i="1"/>
  <c r="K32" i="1"/>
  <c r="K13" i="1"/>
  <c r="L17" i="1"/>
  <c r="L15" i="1"/>
  <c r="L21" i="1"/>
  <c r="L18" i="1"/>
  <c r="L20" i="1"/>
  <c r="L12" i="1"/>
  <c r="L27" i="1"/>
  <c r="L23" i="1"/>
  <c r="L25" i="1"/>
  <c r="L14" i="1"/>
  <c r="L24" i="1"/>
  <c r="L16" i="1"/>
  <c r="L29" i="1"/>
  <c r="L22" i="1"/>
  <c r="L26" i="1"/>
  <c r="L28" i="1"/>
  <c r="L19" i="1"/>
  <c r="L9" i="1"/>
  <c r="L8" i="1"/>
  <c r="L7" i="1"/>
  <c r="L10" i="1"/>
  <c r="L11" i="1"/>
  <c r="L30" i="1"/>
  <c r="L31" i="1"/>
  <c r="L32" i="1"/>
  <c r="L13" i="1"/>
  <c r="I17" i="1"/>
  <c r="J17" i="1"/>
  <c r="I15" i="1"/>
  <c r="J15" i="1"/>
  <c r="I21" i="1"/>
  <c r="M21" i="1" s="1"/>
  <c r="J21" i="1"/>
  <c r="I18" i="1"/>
  <c r="M18" i="1" s="1"/>
  <c r="J18" i="1"/>
  <c r="I20" i="1"/>
  <c r="J20" i="1"/>
  <c r="I12" i="1"/>
  <c r="J12" i="1"/>
  <c r="I27" i="1"/>
  <c r="M27" i="1" s="1"/>
  <c r="J27" i="1"/>
  <c r="I23" i="1"/>
  <c r="J23" i="1"/>
  <c r="I25" i="1"/>
  <c r="J25" i="1"/>
  <c r="I14" i="1"/>
  <c r="J14" i="1"/>
  <c r="I24" i="1"/>
  <c r="M24" i="1" s="1"/>
  <c r="J24" i="1"/>
  <c r="I16" i="1"/>
  <c r="M16" i="1" s="1"/>
  <c r="J16" i="1"/>
  <c r="I29" i="1"/>
  <c r="J29" i="1"/>
  <c r="I22" i="1"/>
  <c r="J22" i="1"/>
  <c r="I26" i="1"/>
  <c r="M26" i="1" s="1"/>
  <c r="J26" i="1"/>
  <c r="I28" i="1"/>
  <c r="M28" i="1" s="1"/>
  <c r="N28" i="1" s="1"/>
  <c r="J28" i="1"/>
  <c r="I19" i="1"/>
  <c r="J19" i="1"/>
  <c r="I9" i="1"/>
  <c r="J9" i="1"/>
  <c r="I8" i="1"/>
  <c r="M8" i="1" s="1"/>
  <c r="J8" i="1"/>
  <c r="I7" i="1"/>
  <c r="M7" i="1" s="1"/>
  <c r="J7" i="1"/>
  <c r="I10" i="1"/>
  <c r="J10" i="1"/>
  <c r="I11" i="1"/>
  <c r="J11" i="1"/>
  <c r="I30" i="1"/>
  <c r="N30" i="1" s="1"/>
  <c r="J30" i="1"/>
  <c r="I31" i="1"/>
  <c r="N31" i="1" s="1"/>
  <c r="J31" i="1"/>
  <c r="I32" i="1"/>
  <c r="N32" i="1" s="1"/>
  <c r="J32" i="1"/>
  <c r="J13" i="1"/>
  <c r="M11" i="1" l="1"/>
  <c r="M12" i="1"/>
  <c r="M22" i="1"/>
  <c r="M23" i="1"/>
  <c r="N23" i="1" s="1"/>
  <c r="M32" i="1"/>
  <c r="M25" i="1"/>
  <c r="N25" i="1" s="1"/>
  <c r="M17" i="1"/>
  <c r="N17" i="1" s="1"/>
  <c r="M19" i="1"/>
  <c r="N19" i="1" s="1"/>
  <c r="M10" i="1"/>
  <c r="N10" i="1" s="1"/>
  <c r="M29" i="1"/>
  <c r="N29" i="1" s="1"/>
  <c r="M20" i="1"/>
  <c r="N20" i="1" s="1"/>
  <c r="M13" i="1"/>
  <c r="N13" i="1" s="1"/>
  <c r="M9" i="1"/>
  <c r="N9" i="1" s="1"/>
  <c r="M14" i="1"/>
  <c r="N14" i="1" s="1"/>
  <c r="M15" i="1"/>
  <c r="N15" i="1" s="1"/>
  <c r="M31" i="1"/>
  <c r="N26" i="1"/>
  <c r="N27" i="1"/>
  <c r="M30" i="1"/>
  <c r="N11" i="1"/>
  <c r="N22" i="1"/>
  <c r="N12" i="1"/>
  <c r="N7" i="1"/>
  <c r="N16" i="1"/>
  <c r="N18" i="1"/>
  <c r="N8" i="1"/>
  <c r="N24" i="1"/>
  <c r="N21" i="1"/>
  <c r="O32" i="1"/>
  <c r="P32" i="1" s="1"/>
  <c r="O31" i="1"/>
  <c r="P31" i="1" s="1"/>
  <c r="O30" i="1"/>
  <c r="P30" i="1" s="1"/>
  <c r="O7" i="1" l="1"/>
  <c r="O17" i="1"/>
  <c r="O28" i="1"/>
  <c r="O14" i="1"/>
  <c r="O12" i="1"/>
  <c r="O21" i="1"/>
  <c r="O25" i="1"/>
  <c r="O29" i="1"/>
  <c r="O19" i="1"/>
  <c r="O15" i="1"/>
  <c r="O9" i="1"/>
  <c r="O13" i="1"/>
  <c r="O27" i="1"/>
  <c r="O26" i="1"/>
  <c r="O23" i="1"/>
  <c r="O24" i="1"/>
  <c r="O11" i="1"/>
  <c r="P24" i="1" l="1"/>
  <c r="Q24" i="1"/>
  <c r="P29" i="1"/>
  <c r="Q29" i="1"/>
  <c r="P26" i="1"/>
  <c r="Q26" i="1"/>
  <c r="P21" i="1"/>
  <c r="Q21" i="1"/>
  <c r="P23" i="1"/>
  <c r="Q23" i="1"/>
  <c r="P27" i="1"/>
  <c r="Q27" i="1"/>
  <c r="P12" i="1"/>
  <c r="Q12" i="1"/>
  <c r="P13" i="1"/>
  <c r="Q13" i="1"/>
  <c r="P14" i="1"/>
  <c r="Q14" i="1"/>
  <c r="P9" i="1"/>
  <c r="Q9" i="1"/>
  <c r="P28" i="1"/>
  <c r="Q28" i="1"/>
  <c r="P25" i="1"/>
  <c r="Q25" i="1"/>
  <c r="P15" i="1"/>
  <c r="Q15" i="1"/>
  <c r="P17" i="1"/>
  <c r="Q17" i="1"/>
  <c r="P11" i="1"/>
  <c r="Q11" i="1"/>
  <c r="P19" i="1"/>
  <c r="Q19" i="1"/>
  <c r="P7" i="1"/>
  <c r="Q7" i="1"/>
  <c r="O16" i="1"/>
  <c r="O18" i="1"/>
  <c r="O8" i="1"/>
  <c r="O20" i="1"/>
  <c r="O22" i="1"/>
  <c r="O10" i="1"/>
  <c r="P8" i="1" l="1"/>
  <c r="Q8" i="1"/>
  <c r="P22" i="1"/>
  <c r="Q22" i="1"/>
  <c r="P20" i="1"/>
  <c r="Q20" i="1"/>
  <c r="P16" i="1"/>
  <c r="Q16" i="1"/>
  <c r="P10" i="1"/>
  <c r="Q10" i="1"/>
  <c r="P18" i="1"/>
  <c r="Q18" i="1"/>
  <c r="D4" i="4" l="1"/>
  <c r="K5" i="4"/>
  <c r="L5" i="4"/>
  <c r="K6" i="4"/>
  <c r="M6" i="4" s="1"/>
  <c r="N6" i="4" s="1"/>
  <c r="K7" i="4"/>
  <c r="M7" i="4" s="1"/>
  <c r="N7" i="4" s="1"/>
  <c r="L7" i="4"/>
  <c r="K8" i="4"/>
  <c r="L8" i="4" s="1"/>
  <c r="K9" i="4"/>
  <c r="L9" i="4" s="1"/>
  <c r="K10" i="4"/>
  <c r="M10" i="4" s="1"/>
  <c r="N10" i="4" s="1"/>
  <c r="L10" i="4"/>
  <c r="K11" i="4"/>
  <c r="M11" i="4"/>
  <c r="N11" i="4" s="1"/>
  <c r="K12" i="4"/>
  <c r="M12" i="4" s="1"/>
  <c r="N12" i="4" s="1"/>
  <c r="K13" i="4"/>
  <c r="M13" i="4" s="1"/>
  <c r="N13" i="4" s="1"/>
  <c r="K4" i="4"/>
  <c r="M4" i="4" s="1"/>
  <c r="N4" i="4" s="1"/>
  <c r="L11" i="4"/>
  <c r="M5" i="4"/>
  <c r="N5" i="4" s="1"/>
  <c r="G6" i="4"/>
  <c r="H6" i="4"/>
  <c r="G13" i="4"/>
  <c r="H5" i="4"/>
  <c r="H7" i="4"/>
  <c r="H8" i="4"/>
  <c r="H9" i="4"/>
  <c r="H10" i="4"/>
  <c r="H11" i="4"/>
  <c r="H12" i="4"/>
  <c r="H13" i="4"/>
  <c r="G7" i="4"/>
  <c r="G8" i="4"/>
  <c r="G9" i="4"/>
  <c r="G10" i="4"/>
  <c r="G11" i="4"/>
  <c r="G12" i="4"/>
  <c r="H4" i="4"/>
  <c r="D5" i="4"/>
  <c r="G5" i="4" s="1"/>
  <c r="G4" i="4"/>
  <c r="L12" i="4" l="1"/>
  <c r="M9" i="4"/>
  <c r="N9" i="4" s="1"/>
  <c r="L4" i="4"/>
  <c r="K14" i="4" s="1"/>
  <c r="D22" i="4" s="1"/>
  <c r="C22" i="4" s="1"/>
  <c r="L6" i="4"/>
  <c r="M8" i="4"/>
  <c r="N8" i="4" s="1"/>
  <c r="L13" i="4"/>
  <c r="G14" i="4"/>
  <c r="E17" i="4" s="1"/>
  <c r="H14" i="4"/>
  <c r="E18" i="4" l="1"/>
  <c r="G18" i="4" s="1"/>
  <c r="H17" i="4"/>
  <c r="G17" i="4"/>
  <c r="H18" i="4" l="1"/>
  <c r="D21" i="4" s="1"/>
  <c r="C21" i="4" s="1"/>
  <c r="D23" i="4" l="1"/>
  <c r="C23" i="4" s="1"/>
  <c r="D26" i="4" l="1"/>
  <c r="D24" i="4"/>
  <c r="E24" i="4" l="1"/>
  <c r="C24" i="4"/>
  <c r="D25" i="4"/>
  <c r="C25" i="4" s="1"/>
  <c r="E26" i="4"/>
  <c r="C2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Steve Eagle</author>
    <author>Admin</author>
  </authors>
  <commentList>
    <comment ref="B5" authorId="0" shapeId="0" xr:uid="{06F98EE3-0854-4730-9A41-C64EE4553F74}">
      <text>
        <r>
          <rPr>
            <b/>
            <sz val="9"/>
            <color indexed="81"/>
            <rFont val="Tahoma"/>
            <charset val="1"/>
          </rPr>
          <t>Steve Eagle:</t>
        </r>
        <r>
          <rPr>
            <sz val="9"/>
            <color indexed="81"/>
            <rFont val="Tahoma"/>
            <charset val="1"/>
          </rPr>
          <t xml:space="preserve">
If you are benchmarking multiple niches then make note of which niche each product fits into in this column so that you can easily sort and organise them later</t>
        </r>
      </text>
    </comment>
    <comment ref="C5" authorId="0" shapeId="0" xr:uid="{00E26B38-E873-4564-82ED-431A8B20ED0B}">
      <text>
        <r>
          <rPr>
            <b/>
            <sz val="9"/>
            <color indexed="81"/>
            <rFont val="Tahoma"/>
            <charset val="1"/>
          </rPr>
          <t>Steve Eagle:</t>
        </r>
        <r>
          <rPr>
            <sz val="9"/>
            <color indexed="81"/>
            <rFont val="Tahoma"/>
            <charset val="1"/>
          </rPr>
          <t xml:space="preserve">
Name the products that you are benchmarking</t>
        </r>
      </text>
    </comment>
    <comment ref="D5" authorId="1" shapeId="0" xr:uid="{00000000-0006-0000-0000-000001000000}">
      <text>
        <r>
          <rPr>
            <b/>
            <sz val="9"/>
            <color indexed="81"/>
            <rFont val="Tahoma"/>
            <family val="2"/>
          </rPr>
          <t xml:space="preserve">Steve:
</t>
        </r>
        <r>
          <rPr>
            <sz val="9"/>
            <color indexed="81"/>
            <rFont val="Tahoma"/>
            <family val="2"/>
          </rPr>
          <t xml:space="preserve">Current wholesale price available if you buy in scale orders.
</t>
        </r>
      </text>
    </comment>
    <comment ref="E5" authorId="0" shapeId="0" xr:uid="{B189526C-1925-48C4-A7C3-7E944E77BB1E}">
      <text>
        <r>
          <rPr>
            <b/>
            <sz val="9"/>
            <color indexed="81"/>
            <rFont val="Tahoma"/>
            <charset val="1"/>
          </rPr>
          <t>Steve Eagle:</t>
        </r>
        <r>
          <rPr>
            <sz val="9"/>
            <color indexed="81"/>
            <rFont val="Tahoma"/>
            <charset val="1"/>
          </rPr>
          <t xml:space="preserve">
Link to the product page that you are referencing so that you can more easily research it and return to it later
</t>
        </r>
      </text>
    </comment>
    <comment ref="F5" authorId="1" shapeId="0" xr:uid="{00000000-0006-0000-0000-000002000000}">
      <text>
        <r>
          <rPr>
            <b/>
            <sz val="9"/>
            <color indexed="81"/>
            <rFont val="Tahoma"/>
            <family val="2"/>
          </rPr>
          <t xml:space="preserve">Steve:
</t>
        </r>
        <r>
          <rPr>
            <sz val="9"/>
            <color indexed="81"/>
            <rFont val="Tahoma"/>
            <family val="2"/>
          </rPr>
          <t>Try to find the regular retail price for each item. This price should be what a customer would usually buy this item for</t>
        </r>
      </text>
    </comment>
    <comment ref="H5" authorId="1" shapeId="0" xr:uid="{00000000-0006-0000-0000-000003000000}">
      <text>
        <r>
          <rPr>
            <b/>
            <sz val="9"/>
            <color indexed="81"/>
            <rFont val="Tahoma"/>
            <family val="2"/>
          </rPr>
          <t>Steve:</t>
        </r>
        <r>
          <rPr>
            <sz val="9"/>
            <color indexed="81"/>
            <rFont val="Tahoma"/>
            <family val="2"/>
          </rPr>
          <t xml:space="preserve">
Never leave this column empty, if you don’t know the sales volume then use 1 as a place holder</t>
        </r>
      </text>
    </comment>
    <comment ref="I5" authorId="0" shapeId="0" xr:uid="{F1291B7A-5DBF-47FB-A607-B4812234C046}">
      <text>
        <r>
          <rPr>
            <b/>
            <sz val="9"/>
            <color indexed="81"/>
            <rFont val="Tahoma"/>
            <charset val="1"/>
          </rPr>
          <t>Steve Eagle:</t>
        </r>
        <r>
          <rPr>
            <sz val="9"/>
            <color indexed="81"/>
            <rFont val="Tahoma"/>
            <charset val="1"/>
          </rPr>
          <t xml:space="preserve">
Its important to note that freight is not always linear to the cost of a product, while 10% is a useful indicator for small shippable items this number should be studied in more detail for all items that benchmark well at this stage. New numbers can be keyed in directly for each line item when they are understood.
</t>
        </r>
      </text>
    </comment>
    <comment ref="J5" authorId="0" shapeId="0" xr:uid="{1A19C2A4-39B5-4F8E-B4F9-3E3D3ED8EA71}">
      <text>
        <r>
          <rPr>
            <b/>
            <sz val="9"/>
            <color indexed="81"/>
            <rFont val="Tahoma"/>
            <charset val="1"/>
          </rPr>
          <t>Steve Eagle:</t>
        </r>
        <r>
          <rPr>
            <sz val="9"/>
            <color indexed="81"/>
            <rFont val="Tahoma"/>
            <charset val="1"/>
          </rPr>
          <t xml:space="preserve">
What is the cost of holding inventory for the period of time it will take for that inventory to sell. On small shipble items I use 12% as a general rule and then further study the sales cycle and warehousing costs for the products that benchmark well</t>
        </r>
      </text>
    </comment>
    <comment ref="K5" authorId="0" shapeId="0" xr:uid="{1636EE69-2D02-4961-9A54-FB042713FF18}">
      <text>
        <r>
          <rPr>
            <b/>
            <sz val="9"/>
            <color indexed="81"/>
            <rFont val="Tahoma"/>
            <charset val="1"/>
          </rPr>
          <t>Steve Eagle:</t>
        </r>
        <r>
          <rPr>
            <sz val="9"/>
            <color indexed="81"/>
            <rFont val="Tahoma"/>
            <charset val="1"/>
          </rPr>
          <t xml:space="preserve">
Are there any local taxes payable when you are trading your product in the local market? They can be accounted for here</t>
        </r>
      </text>
    </comment>
    <comment ref="L5" authorId="0" shapeId="0" xr:uid="{C407839C-B323-4AEF-BB8C-9A30ED5744C8}">
      <text>
        <r>
          <rPr>
            <b/>
            <sz val="9"/>
            <color indexed="81"/>
            <rFont val="Tahoma"/>
            <charset val="1"/>
          </rPr>
          <t>Steve Eagle:</t>
        </r>
        <r>
          <rPr>
            <sz val="9"/>
            <color indexed="81"/>
            <rFont val="Tahoma"/>
            <charset val="1"/>
          </rPr>
          <t xml:space="preserve">
Most products have a Duty tax payale when they cross the border into your destination market. This is usually expressed as a %age of the product cost and may differ from product to product based on what materials the product is made from. If you have multiple duties needed for different types of products you can key the formula directly into the line of that product as (column D x X%) </t>
        </r>
      </text>
    </comment>
    <comment ref="M5" authorId="0" shapeId="0" xr:uid="{0231414F-8FBA-40CE-97D0-C8453F7F7BF0}">
      <text>
        <r>
          <rPr>
            <b/>
            <sz val="9"/>
            <color indexed="81"/>
            <rFont val="Tahoma"/>
            <charset val="1"/>
          </rPr>
          <t>Steve Eagle:</t>
        </r>
        <r>
          <rPr>
            <sz val="9"/>
            <color indexed="81"/>
            <rFont val="Tahoma"/>
            <charset val="1"/>
          </rPr>
          <t xml:space="preserve">
It's a good practice to allow some income to be directly chaneled into marketing your business. For benchmarking purposes I like to assume 15% of sales will go to marketing.</t>
        </r>
      </text>
    </comment>
    <comment ref="N5" authorId="0" shapeId="0" xr:uid="{822B6C81-3293-402D-8CD5-13608A6ADDF4}">
      <text>
        <r>
          <rPr>
            <b/>
            <sz val="9"/>
            <color indexed="81"/>
            <rFont val="Tahoma"/>
            <charset val="1"/>
          </rPr>
          <t>Steve Eagle:</t>
        </r>
        <r>
          <rPr>
            <sz val="9"/>
            <color indexed="81"/>
            <rFont val="Tahoma"/>
            <charset val="1"/>
          </rPr>
          <t xml:space="preserve">
The landed cost is what it will cost you to have your product laded to the clients market location including all of the item costs in the phase 2 section of this worksheet
</t>
        </r>
      </text>
    </comment>
    <comment ref="O5" authorId="0" shapeId="0" xr:uid="{55254631-D7DC-4DFD-91C9-128F4CA4447B}">
      <text>
        <r>
          <rPr>
            <b/>
            <sz val="9"/>
            <color indexed="81"/>
            <rFont val="Tahoma"/>
            <charset val="1"/>
          </rPr>
          <t>Steve Eagle:</t>
        </r>
        <r>
          <rPr>
            <sz val="9"/>
            <color indexed="81"/>
            <rFont val="Tahoma"/>
            <charset val="1"/>
          </rPr>
          <t xml:space="preserve">
This is the difference in price from the market retail price to the landed cost expressed as a dollar value and can be used to help you understand how much margin your product idea is likely to have per sale
</t>
        </r>
      </text>
    </comment>
    <comment ref="P5" authorId="0" shapeId="0" xr:uid="{F3CD6ADE-A2E9-4C73-ABBD-4661D03C10E3}">
      <text>
        <r>
          <rPr>
            <b/>
            <sz val="9"/>
            <color indexed="81"/>
            <rFont val="Tahoma"/>
            <charset val="1"/>
          </rPr>
          <t>Steve Eagle:</t>
        </r>
        <r>
          <rPr>
            <sz val="9"/>
            <color indexed="81"/>
            <rFont val="Tahoma"/>
            <charset val="1"/>
          </rPr>
          <t xml:space="preserve">
The profitability forecasts multiplies the Delta to Market by the Estimated Monthly Sales to farecast what monthy profitability would look like for each product being benchmarked
</t>
        </r>
      </text>
    </comment>
    <comment ref="Q5" authorId="0" shapeId="0" xr:uid="{C31DB2BF-FC7A-4810-895E-15C631D6192D}">
      <text>
        <r>
          <rPr>
            <b/>
            <sz val="9"/>
            <color indexed="81"/>
            <rFont val="Tahoma"/>
            <charset val="1"/>
          </rPr>
          <t>Steve Eagle:</t>
        </r>
        <r>
          <rPr>
            <sz val="9"/>
            <color indexed="81"/>
            <rFont val="Tahoma"/>
            <charset val="1"/>
          </rPr>
          <t xml:space="preserve">
This is the profitability expressed as a %age. Its iimportant to understand profit in terms of absolute value as well as a percentate to full understand your potential return on investment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D18" authorId="0" shapeId="0" xr:uid="{00000000-0006-0000-0100-000001000000}">
      <text>
        <r>
          <rPr>
            <b/>
            <sz val="9"/>
            <color indexed="81"/>
            <rFont val="Tahoma"/>
            <family val="2"/>
          </rPr>
          <t>Updated cost from supplier logistics agent</t>
        </r>
      </text>
    </comment>
  </commentList>
</comments>
</file>

<file path=xl/sharedStrings.xml><?xml version="1.0" encoding="utf-8"?>
<sst xmlns="http://schemas.openxmlformats.org/spreadsheetml/2006/main" count="178" uniqueCount="73">
  <si>
    <t>Item</t>
  </si>
  <si>
    <t>Steel</t>
  </si>
  <si>
    <t>Polyurethane</t>
  </si>
  <si>
    <t>TBA</t>
  </si>
  <si>
    <t>Bunnings</t>
  </si>
  <si>
    <t>Miter 10</t>
  </si>
  <si>
    <t>Size</t>
  </si>
  <si>
    <t>KG</t>
  </si>
  <si>
    <t>Meters</t>
  </si>
  <si>
    <t>Weight</t>
  </si>
  <si>
    <t>QTY</t>
  </si>
  <si>
    <t>FOB Price</t>
  </si>
  <si>
    <t>Total</t>
  </si>
  <si>
    <t>Local Cost</t>
  </si>
  <si>
    <t>USD</t>
  </si>
  <si>
    <t>Discount</t>
  </si>
  <si>
    <t xml:space="preserve">Local Cost </t>
  </si>
  <si>
    <t>AUD</t>
  </si>
  <si>
    <t>Order</t>
  </si>
  <si>
    <t>Capacity in KG</t>
  </si>
  <si>
    <t>http://www.mckship.com/world/sea_dest.asp?distinatione=Darwin</t>
  </si>
  <si>
    <t>Transit Time in Days</t>
  </si>
  <si>
    <t>40' Containers (via McKship.com)</t>
  </si>
  <si>
    <t>20' Containers (via McKship.com)</t>
  </si>
  <si>
    <t>Estimate Freight Cost</t>
  </si>
  <si>
    <t>Container Weight</t>
  </si>
  <si>
    <t>Containers Req.</t>
  </si>
  <si>
    <t>Container Rate ea.</t>
  </si>
  <si>
    <t>Gross Capacity KG</t>
  </si>
  <si>
    <t>Difference</t>
  </si>
  <si>
    <t>%</t>
  </si>
  <si>
    <t>Landed Cost from China to Darwin</t>
  </si>
  <si>
    <t>Difference (gross margin)</t>
  </si>
  <si>
    <t>Discount to Owner</t>
  </si>
  <si>
    <t>Freight</t>
  </si>
  <si>
    <t>Product and Order Volumes</t>
  </si>
  <si>
    <t>Summary</t>
  </si>
  <si>
    <t>Totals</t>
  </si>
  <si>
    <t>Current Local Cost</t>
  </si>
  <si>
    <t>New Price to AUS Client</t>
  </si>
  <si>
    <t>Profit</t>
  </si>
  <si>
    <t>Home Hardware</t>
  </si>
  <si>
    <t>Product Name</t>
  </si>
  <si>
    <t>FOB CN</t>
  </si>
  <si>
    <t>Estimated Monthly Sales</t>
  </si>
  <si>
    <t>Product Cost Model</t>
  </si>
  <si>
    <t>Wholesale Price Check</t>
  </si>
  <si>
    <t>Wholesale Supplier</t>
  </si>
  <si>
    <t>Retail Seller</t>
  </si>
  <si>
    <t>Warehousing</t>
  </si>
  <si>
    <t>Duty</t>
  </si>
  <si>
    <t>Landed Cost</t>
  </si>
  <si>
    <t xml:space="preserve">Freight </t>
  </si>
  <si>
    <t>Monthly Profitability Forecast</t>
  </si>
  <si>
    <t>Delta to Market</t>
  </si>
  <si>
    <t>Retail Price per unit</t>
  </si>
  <si>
    <t>Landed Cost Study - phase 2</t>
  </si>
  <si>
    <t>Benchmarking - Phase 1</t>
  </si>
  <si>
    <t>VAT/GST</t>
  </si>
  <si>
    <t>Marketing</t>
  </si>
  <si>
    <t>link</t>
  </si>
  <si>
    <t>Gross Margin</t>
  </si>
  <si>
    <t>widget</t>
  </si>
  <si>
    <t>Niche/Category</t>
  </si>
  <si>
    <t>wire roll</t>
  </si>
  <si>
    <t>link connector</t>
  </si>
  <si>
    <t>50x star picket</t>
  </si>
  <si>
    <t>1x star picket</t>
  </si>
  <si>
    <t>sprinkler head</t>
  </si>
  <si>
    <t xml:space="preserve">Irrigation hose </t>
  </si>
  <si>
    <t xml:space="preserve">large diameter drainage </t>
  </si>
  <si>
    <t>small diameter drainage</t>
  </si>
  <si>
    <t>All Blue Text is example only and can be modified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</si>
</sst>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 #,##0_-;\-* #,##0_-;_-* &quot;-&quot;??_-;_-@_-"/>
    <numFmt numFmtId="165" formatCode="_-&quot;$&quot;* #,##0.0_-;\-&quot;$&quot;* #,##0.0_-;_-&quot;$&quot;* &quot;-&quot;??_-;_-@_-"/>
    <numFmt numFmtId="166" formatCode="_-&quot;$&quot;* #,##0_-;\-&quot;$&quot;* #,##0_-;_-&quot;$&quot;*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9"/>
      <color indexed="81"/>
      <name val="Tahoma"/>
      <family val="2"/>
    </font>
    <font>
      <b/>
      <sz val="9"/>
      <color indexed="81"/>
      <name val="Tahoma"/>
      <family val="2"/>
    </font>
    <font>
      <b/>
      <sz val="14"/>
      <color theme="1"/>
      <name val="Calibri"/>
      <family val="2"/>
      <scheme val="minor"/>
    </font>
    <font>
      <b/>
      <sz val="20"/>
      <color theme="1"/>
      <name val="Calibri"/>
      <family val="2"/>
      <scheme val="minor"/>
    </font>
    <font>
      <b/>
      <sz val="11"/>
      <color rgb="FF00B0F0"/>
      <name val="Calibri"/>
      <family val="2"/>
      <scheme val="minor"/>
    </font>
    <font>
      <b/>
      <i/>
      <sz val="11"/>
      <color theme="1"/>
      <name val="Calibri"/>
      <family val="2"/>
      <scheme val="minor"/>
    </font>
    <font>
      <sz val="11"/>
      <color theme="0"/>
      <name val="Calibri"/>
      <family val="2"/>
      <scheme val="minor"/>
    </font>
    <font>
      <b/>
      <sz val="8"/>
      <color theme="1"/>
      <name val="Calibri"/>
      <family val="2"/>
      <scheme val="minor"/>
    </font>
    <font>
      <sz val="11"/>
      <name val="Calibri"/>
      <family val="2"/>
      <scheme val="minor"/>
    </font>
    <font>
      <b/>
      <sz val="8"/>
      <color theme="2" tint="-0.249977111117893"/>
      <name val="Calibri"/>
      <family val="2"/>
      <scheme val="minor"/>
    </font>
    <font>
      <sz val="11"/>
      <color theme="2" tint="-0.249977111117893"/>
      <name val="Calibri"/>
      <family val="2"/>
      <scheme val="minor"/>
    </font>
    <font>
      <b/>
      <sz val="11"/>
      <name val="Calibri"/>
      <family val="2"/>
      <scheme val="minor"/>
    </font>
    <font>
      <sz val="11"/>
      <color rgb="FF0070C0"/>
      <name val="Calibri"/>
      <family val="2"/>
      <scheme val="minor"/>
    </font>
    <font>
      <b/>
      <sz val="11"/>
      <color rgb="FF0070C0"/>
      <name val="Calibri"/>
      <family val="2"/>
      <scheme val="minor"/>
    </font>
    <font>
      <sz val="9"/>
      <color indexed="81"/>
      <name val="Tahoma"/>
      <charset val="1"/>
    </font>
    <font>
      <b/>
      <sz val="9"/>
      <color indexed="81"/>
      <name val="Tahoma"/>
      <charset val="1"/>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CCFFCC"/>
        <bgColor indexed="64"/>
      </patternFill>
    </fill>
    <fill>
      <patternFill patternType="solid">
        <fgColor theme="7" tint="0.79998168889431442"/>
        <bgColor indexed="64"/>
      </patternFill>
    </fill>
    <fill>
      <patternFill patternType="solid">
        <fgColor theme="5"/>
      </patternFill>
    </fill>
  </fills>
  <borders count="18">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bottom/>
      <diagonal/>
    </border>
    <border>
      <left/>
      <right/>
      <top style="thin">
        <color indexed="64"/>
      </top>
      <bottom style="double">
        <color indexed="64"/>
      </bottom>
      <diagonal/>
    </border>
    <border>
      <left style="dotted">
        <color indexed="64"/>
      </left>
      <right style="dotted">
        <color indexed="64"/>
      </right>
      <top/>
      <bottom style="dotted">
        <color indexed="64"/>
      </bottom>
      <diagonal/>
    </border>
    <border>
      <left style="thin">
        <color indexed="64"/>
      </left>
      <right style="dotted">
        <color indexed="64"/>
      </right>
      <top/>
      <bottom style="dotted">
        <color indexed="64"/>
      </bottom>
      <diagonal/>
    </border>
    <border>
      <left/>
      <right/>
      <top/>
      <bottom style="dotted">
        <color indexed="64"/>
      </bottom>
      <diagonal/>
    </border>
    <border>
      <left style="thin">
        <color indexed="64"/>
      </left>
      <right/>
      <top style="thin">
        <color indexed="64"/>
      </top>
      <bottom style="double">
        <color indexed="64"/>
      </bottom>
      <diagonal/>
    </border>
    <border>
      <left/>
      <right style="thin">
        <color indexed="64"/>
      </right>
      <top/>
      <bottom style="double">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vertical="center"/>
    </xf>
    <xf numFmtId="0" fontId="10" fillId="7" borderId="0" applyNumberFormat="0" applyBorder="0" applyAlignment="0" applyProtection="0"/>
  </cellStyleXfs>
  <cellXfs count="89">
    <xf numFmtId="0" fontId="0" fillId="0" borderId="0" xfId="0"/>
    <xf numFmtId="0" fontId="0" fillId="2" borderId="0" xfId="0" applyFill="1"/>
    <xf numFmtId="0" fontId="0" fillId="2" borderId="0" xfId="0" applyFill="1" applyBorder="1"/>
    <xf numFmtId="0" fontId="0" fillId="0" borderId="0" xfId="0" applyFill="1" applyBorder="1"/>
    <xf numFmtId="0" fontId="2" fillId="2" borderId="0" xfId="0" applyFont="1" applyFill="1" applyAlignment="1">
      <alignment horizontal="center" vertical="center" wrapText="1"/>
    </xf>
    <xf numFmtId="0" fontId="2" fillId="0" borderId="2" xfId="0" applyFont="1" applyFill="1" applyBorder="1" applyAlignment="1">
      <alignment horizontal="center" vertical="center" wrapText="1"/>
    </xf>
    <xf numFmtId="0" fontId="0" fillId="0" borderId="4" xfId="0" applyFill="1" applyBorder="1"/>
    <xf numFmtId="2" fontId="0" fillId="0" borderId="0" xfId="0" applyNumberFormat="1" applyFill="1" applyBorder="1"/>
    <xf numFmtId="44" fontId="0" fillId="0" borderId="0" xfId="1" applyFont="1" applyFill="1" applyBorder="1"/>
    <xf numFmtId="164" fontId="0" fillId="0" borderId="0" xfId="4" applyNumberFormat="1" applyFont="1" applyFill="1" applyBorder="1"/>
    <xf numFmtId="166" fontId="0" fillId="0" borderId="0" xfId="1" applyNumberFormat="1" applyFont="1" applyFill="1" applyBorder="1"/>
    <xf numFmtId="164" fontId="0" fillId="0" borderId="0" xfId="0" applyNumberFormat="1" applyFill="1" applyBorder="1"/>
    <xf numFmtId="43" fontId="0" fillId="0" borderId="0" xfId="0" applyNumberFormat="1" applyFill="1" applyBorder="1"/>
    <xf numFmtId="0" fontId="2" fillId="3" borderId="0" xfId="0" applyFont="1" applyFill="1" applyBorder="1" applyAlignment="1">
      <alignment horizontal="center"/>
    </xf>
    <xf numFmtId="165" fontId="0" fillId="0" borderId="0" xfId="1" applyNumberFormat="1" applyFont="1" applyFill="1" applyBorder="1"/>
    <xf numFmtId="0" fontId="2" fillId="3" borderId="0" xfId="0" applyFont="1" applyFill="1" applyBorder="1" applyAlignment="1">
      <alignment horizontal="center" vertical="center" wrapText="1"/>
    </xf>
    <xf numFmtId="164" fontId="2" fillId="3" borderId="0" xfId="0" applyNumberFormat="1" applyFont="1" applyFill="1" applyBorder="1" applyAlignment="1">
      <alignment horizontal="center" vertical="center" wrapText="1"/>
    </xf>
    <xf numFmtId="166" fontId="2" fillId="3" borderId="0" xfId="1" applyNumberFormat="1" applyFont="1" applyFill="1" applyBorder="1" applyAlignment="1">
      <alignment horizontal="center" vertical="center" wrapText="1"/>
    </xf>
    <xf numFmtId="0" fontId="0" fillId="0" borderId="0" xfId="0" applyFill="1" applyBorder="1" applyAlignment="1">
      <alignment horizontal="center"/>
    </xf>
    <xf numFmtId="44" fontId="0" fillId="0" borderId="0" xfId="0" applyNumberFormat="1" applyFill="1" applyBorder="1"/>
    <xf numFmtId="44" fontId="0" fillId="6" borderId="0" xfId="1" applyNumberFormat="1" applyFont="1" applyFill="1" applyBorder="1"/>
    <xf numFmtId="164" fontId="0" fillId="6" borderId="0" xfId="4" applyNumberFormat="1" applyFont="1" applyFill="1" applyBorder="1"/>
    <xf numFmtId="166" fontId="0" fillId="2" borderId="0" xfId="0" applyNumberFormat="1" applyFill="1"/>
    <xf numFmtId="166" fontId="0" fillId="0" borderId="0" xfId="0" applyNumberFormat="1" applyFill="1" applyBorder="1"/>
    <xf numFmtId="166" fontId="0" fillId="3" borderId="0" xfId="0" applyNumberFormat="1" applyFill="1"/>
    <xf numFmtId="9" fontId="0" fillId="3" borderId="0" xfId="3" applyFont="1" applyFill="1"/>
    <xf numFmtId="166" fontId="0" fillId="5" borderId="0" xfId="0" applyNumberFormat="1" applyFill="1"/>
    <xf numFmtId="9" fontId="0" fillId="5" borderId="0" xfId="3" applyFont="1" applyFill="1"/>
    <xf numFmtId="0" fontId="2" fillId="3" borderId="0" xfId="0" quotePrefix="1" applyFont="1" applyFill="1" applyBorder="1" applyAlignment="1">
      <alignment horizontal="center"/>
    </xf>
    <xf numFmtId="0" fontId="2" fillId="3" borderId="0" xfId="0" applyFont="1" applyFill="1" applyAlignment="1">
      <alignment horizontal="center" vertical="center"/>
    </xf>
    <xf numFmtId="0" fontId="2" fillId="3" borderId="0" xfId="0" applyFont="1" applyFill="1" applyAlignment="1">
      <alignment horizontal="center"/>
    </xf>
    <xf numFmtId="9" fontId="0" fillId="0" borderId="0" xfId="3" applyFont="1" applyFill="1"/>
    <xf numFmtId="0" fontId="0" fillId="3" borderId="0" xfId="0" applyFill="1"/>
    <xf numFmtId="0" fontId="2" fillId="0" borderId="0" xfId="0" applyFont="1" applyFill="1" applyBorder="1"/>
    <xf numFmtId="164" fontId="2" fillId="0" borderId="0" xfId="0" applyNumberFormat="1" applyFont="1" applyFill="1" applyBorder="1"/>
    <xf numFmtId="166" fontId="2" fillId="0" borderId="0" xfId="1" applyNumberFormat="1" applyFont="1" applyFill="1" applyBorder="1"/>
    <xf numFmtId="44" fontId="2" fillId="0" borderId="0" xfId="1" applyNumberFormat="1" applyFont="1" applyFill="1" applyBorder="1"/>
    <xf numFmtId="44" fontId="2" fillId="0" borderId="0" xfId="0" applyNumberFormat="1" applyFont="1" applyFill="1" applyBorder="1"/>
    <xf numFmtId="166" fontId="2" fillId="0" borderId="0" xfId="0" applyNumberFormat="1" applyFont="1" applyFill="1" applyBorder="1"/>
    <xf numFmtId="0" fontId="3" fillId="3" borderId="0" xfId="2" applyFill="1" applyBorder="1" applyAlignment="1">
      <alignment wrapText="1"/>
    </xf>
    <xf numFmtId="0" fontId="9" fillId="3" borderId="0" xfId="0" applyFont="1" applyFill="1" applyAlignment="1">
      <alignment horizontal="center" vertical="center"/>
    </xf>
    <xf numFmtId="0" fontId="11" fillId="2" borderId="0" xfId="0" applyFont="1" applyFill="1" applyBorder="1" applyAlignment="1">
      <alignment horizontal="center"/>
    </xf>
    <xf numFmtId="44" fontId="0" fillId="2" borderId="0" xfId="0" applyNumberFormat="1" applyFill="1"/>
    <xf numFmtId="0" fontId="13" fillId="2" borderId="0" xfId="0" applyFont="1" applyFill="1" applyBorder="1" applyAlignment="1">
      <alignment horizontal="center"/>
    </xf>
    <xf numFmtId="166" fontId="14" fillId="3" borderId="0" xfId="0" applyNumberFormat="1" applyFont="1" applyFill="1"/>
    <xf numFmtId="166" fontId="14" fillId="5" borderId="0" xfId="0" applyNumberFormat="1" applyFont="1" applyFill="1"/>
    <xf numFmtId="166" fontId="14" fillId="2" borderId="0" xfId="0" applyNumberFormat="1" applyFont="1" applyFill="1"/>
    <xf numFmtId="164" fontId="0" fillId="2" borderId="0" xfId="0" applyNumberFormat="1" applyFill="1" applyBorder="1"/>
    <xf numFmtId="166" fontId="0" fillId="2" borderId="0" xfId="1" applyNumberFormat="1" applyFont="1" applyFill="1" applyBorder="1"/>
    <xf numFmtId="44" fontId="0" fillId="0" borderId="0" xfId="3" applyNumberFormat="1" applyFont="1" applyFill="1"/>
    <xf numFmtId="0" fontId="0" fillId="2" borderId="6" xfId="0" applyFill="1" applyBorder="1" applyAlignment="1">
      <alignment horizontal="center"/>
    </xf>
    <xf numFmtId="44" fontId="12" fillId="2" borderId="6" xfId="0" applyNumberFormat="1" applyFont="1" applyFill="1" applyBorder="1" applyAlignment="1">
      <alignment horizontal="center"/>
    </xf>
    <xf numFmtId="2" fontId="15" fillId="0" borderId="3" xfId="2" applyNumberFormat="1" applyFont="1" applyFill="1" applyBorder="1" applyAlignment="1">
      <alignment horizontal="center" vertical="center" wrapText="1"/>
    </xf>
    <xf numFmtId="44" fontId="12" fillId="2" borderId="4" xfId="0" applyNumberFormat="1" applyFont="1" applyFill="1" applyBorder="1" applyAlignment="1">
      <alignment horizontal="center"/>
    </xf>
    <xf numFmtId="44" fontId="12" fillId="2" borderId="7" xfId="0" applyNumberFormat="1" applyFont="1" applyFill="1" applyBorder="1" applyAlignment="1">
      <alignment horizontal="center"/>
    </xf>
    <xf numFmtId="0" fontId="12" fillId="2" borderId="4" xfId="0" applyFont="1" applyFill="1" applyBorder="1" applyAlignment="1">
      <alignment horizontal="center"/>
    </xf>
    <xf numFmtId="0" fontId="12" fillId="2" borderId="7" xfId="0" applyFont="1" applyFill="1" applyBorder="1" applyAlignment="1">
      <alignment horizontal="center"/>
    </xf>
    <xf numFmtId="0" fontId="0" fillId="0" borderId="10" xfId="0" applyFill="1" applyBorder="1"/>
    <xf numFmtId="44" fontId="12" fillId="2" borderId="11" xfId="0" applyNumberFormat="1" applyFont="1" applyFill="1" applyBorder="1" applyAlignment="1">
      <alignment horizontal="center"/>
    </xf>
    <xf numFmtId="44" fontId="12" fillId="2" borderId="10" xfId="0" applyNumberFormat="1" applyFont="1" applyFill="1" applyBorder="1" applyAlignment="1">
      <alignment horizontal="center"/>
    </xf>
    <xf numFmtId="44" fontId="12" fillId="2" borderId="12" xfId="0" applyNumberFormat="1" applyFont="1" applyFill="1" applyBorder="1" applyAlignment="1">
      <alignment horizontal="center"/>
    </xf>
    <xf numFmtId="0" fontId="2"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2" fillId="2" borderId="14" xfId="0" applyFont="1" applyFill="1" applyBorder="1" applyAlignment="1">
      <alignment horizontal="center" vertical="center" wrapText="1"/>
    </xf>
    <xf numFmtId="9" fontId="12" fillId="2" borderId="15" xfId="3" applyFont="1" applyFill="1" applyBorder="1" applyAlignment="1">
      <alignment horizontal="center"/>
    </xf>
    <xf numFmtId="9" fontId="12" fillId="2" borderId="16" xfId="3" applyFont="1" applyFill="1" applyBorder="1" applyAlignment="1">
      <alignment horizontal="center"/>
    </xf>
    <xf numFmtId="0" fontId="2" fillId="2" borderId="17" xfId="0" applyFont="1" applyFill="1" applyBorder="1" applyAlignment="1">
      <alignment horizontal="center" vertical="center" wrapText="1"/>
    </xf>
    <xf numFmtId="0" fontId="16" fillId="0" borderId="10" xfId="0" applyFont="1" applyFill="1" applyBorder="1"/>
    <xf numFmtId="0" fontId="16" fillId="2" borderId="10" xfId="0" applyFont="1" applyFill="1" applyBorder="1"/>
    <xf numFmtId="44" fontId="16" fillId="2" borderId="10" xfId="1" applyFont="1" applyFill="1" applyBorder="1"/>
    <xf numFmtId="0" fontId="16" fillId="2" borderId="10" xfId="0" applyFont="1" applyFill="1" applyBorder="1" applyAlignment="1">
      <alignment horizontal="center"/>
    </xf>
    <xf numFmtId="0" fontId="16" fillId="0" borderId="4" xfId="0" applyFont="1" applyFill="1" applyBorder="1"/>
    <xf numFmtId="44" fontId="16" fillId="0" borderId="4" xfId="1" applyFont="1" applyFill="1" applyBorder="1"/>
    <xf numFmtId="0" fontId="16" fillId="2" borderId="4" xfId="0" applyFont="1" applyFill="1" applyBorder="1"/>
    <xf numFmtId="44" fontId="16" fillId="2" borderId="4" xfId="1" applyFont="1" applyFill="1" applyBorder="1"/>
    <xf numFmtId="0" fontId="16" fillId="2" borderId="5" xfId="0" applyFont="1" applyFill="1" applyBorder="1" applyAlignment="1">
      <alignment horizontal="center"/>
    </xf>
    <xf numFmtId="0" fontId="16" fillId="2" borderId="4" xfId="0" applyFont="1" applyFill="1" applyBorder="1" applyAlignment="1">
      <alignment horizontal="center"/>
    </xf>
    <xf numFmtId="0" fontId="17" fillId="2" borderId="0" xfId="0" applyFont="1" applyFill="1"/>
    <xf numFmtId="9" fontId="17" fillId="0" borderId="13" xfId="3" applyFont="1" applyFill="1" applyBorder="1" applyAlignment="1">
      <alignment horizontal="center" vertical="center" wrapText="1"/>
    </xf>
    <xf numFmtId="9" fontId="17" fillId="0" borderId="9" xfId="3" applyFont="1" applyFill="1" applyBorder="1" applyAlignment="1">
      <alignment horizontal="center" vertical="center" wrapText="1"/>
    </xf>
    <xf numFmtId="9" fontId="12" fillId="2" borderId="16" xfId="6" applyNumberFormat="1" applyFont="1" applyFill="1" applyBorder="1" applyAlignment="1">
      <alignment horizontal="center"/>
    </xf>
    <xf numFmtId="0" fontId="6" fillId="3" borderId="0" xfId="0" applyFont="1" applyFill="1" applyBorder="1" applyAlignment="1">
      <alignment horizontal="center"/>
    </xf>
    <xf numFmtId="0" fontId="6" fillId="3" borderId="8" xfId="0" applyFont="1" applyFill="1" applyBorder="1" applyAlignment="1">
      <alignment horizontal="center"/>
    </xf>
    <xf numFmtId="0" fontId="7" fillId="2" borderId="0" xfId="0" applyFont="1" applyFill="1" applyAlignment="1">
      <alignment horizontal="center"/>
    </xf>
    <xf numFmtId="0" fontId="6" fillId="4" borderId="1" xfId="0" applyFont="1" applyFill="1" applyBorder="1" applyAlignment="1">
      <alignment horizontal="center"/>
    </xf>
    <xf numFmtId="0" fontId="6" fillId="4" borderId="0" xfId="0" applyFont="1" applyFill="1" applyBorder="1" applyAlignment="1">
      <alignment horizontal="center"/>
    </xf>
    <xf numFmtId="0" fontId="6" fillId="4" borderId="8" xfId="0" applyFont="1" applyFill="1" applyBorder="1" applyAlignment="1">
      <alignment horizontal="center"/>
    </xf>
    <xf numFmtId="0" fontId="9" fillId="3" borderId="0" xfId="0" applyFont="1" applyFill="1" applyAlignment="1">
      <alignment horizontal="center" vertical="center"/>
    </xf>
    <xf numFmtId="0" fontId="9" fillId="3" borderId="0" xfId="0" applyFont="1" applyFill="1" applyAlignment="1">
      <alignment horizontal="center" vertical="center" wrapText="1"/>
    </xf>
  </cellXfs>
  <cellStyles count="7">
    <cellStyle name="Accent2" xfId="6" builtinId="33"/>
    <cellStyle name="Comma" xfId="4" builtinId="3"/>
    <cellStyle name="Currency" xfId="1" builtinId="4"/>
    <cellStyle name="Hyperlink" xfId="2" builtinId="8"/>
    <cellStyle name="Normal" xfId="0" builtinId="0"/>
    <cellStyle name="Normal 2" xfId="5" xr:uid="{00000000-0005-0000-0000-000005000000}"/>
    <cellStyle name="Percent" xfId="3" builtinId="5"/>
  </cellStyles>
  <dxfs count="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CCFFCC"/>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mckship.com/world/sea_dest.asp?distinatione=Darwin"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R33"/>
  <sheetViews>
    <sheetView tabSelected="1" workbookViewId="0">
      <selection activeCell="E6" sqref="E6"/>
    </sheetView>
  </sheetViews>
  <sheetFormatPr defaultColWidth="9.1328125" defaultRowHeight="14.25" x14ac:dyDescent="0.45"/>
  <cols>
    <col min="1" max="1" width="3.59765625" style="1" customWidth="1"/>
    <col min="2" max="2" width="14.19921875" style="1" customWidth="1"/>
    <col min="3" max="3" width="20.9296875" style="1" customWidth="1"/>
    <col min="4" max="4" width="18.59765625" style="1" customWidth="1"/>
    <col min="5" max="5" width="11.73046875" style="1" customWidth="1"/>
    <col min="6" max="6" width="13.59765625" style="1" customWidth="1"/>
    <col min="7" max="7" width="17.1328125" style="1" customWidth="1"/>
    <col min="8" max="15" width="13.59765625" style="1" customWidth="1"/>
    <col min="16" max="16" width="15" style="1" customWidth="1"/>
    <col min="17" max="17" width="10" style="1" customWidth="1"/>
    <col min="18" max="18" width="11.265625" style="1" customWidth="1"/>
    <col min="19" max="16384" width="9.1328125" style="1"/>
  </cols>
  <sheetData>
    <row r="2" spans="2:18" ht="25.5" x14ac:dyDescent="0.75">
      <c r="B2" s="83" t="s">
        <v>45</v>
      </c>
      <c r="C2" s="83"/>
      <c r="D2" s="83"/>
      <c r="E2" s="83"/>
      <c r="F2" s="83"/>
      <c r="G2" s="83"/>
      <c r="H2" s="83"/>
      <c r="I2" s="83"/>
      <c r="J2" s="83"/>
      <c r="K2" s="83"/>
      <c r="L2" s="83"/>
      <c r="M2" s="83"/>
      <c r="N2" s="83"/>
      <c r="O2" s="83"/>
      <c r="P2" s="83"/>
    </row>
    <row r="3" spans="2:18" x14ac:dyDescent="0.45">
      <c r="C3" s="77" t="s">
        <v>72</v>
      </c>
    </row>
    <row r="4" spans="2:18" ht="18" x14ac:dyDescent="0.55000000000000004">
      <c r="B4" s="2"/>
      <c r="C4" s="2"/>
      <c r="D4" s="81" t="s">
        <v>57</v>
      </c>
      <c r="E4" s="81"/>
      <c r="F4" s="81"/>
      <c r="G4" s="81"/>
      <c r="H4" s="82"/>
      <c r="I4" s="84" t="s">
        <v>56</v>
      </c>
      <c r="J4" s="85"/>
      <c r="K4" s="85"/>
      <c r="L4" s="85"/>
      <c r="M4" s="85"/>
      <c r="N4" s="85"/>
      <c r="O4" s="85"/>
      <c r="P4" s="85"/>
      <c r="Q4" s="86"/>
    </row>
    <row r="5" spans="2:18" s="4" customFormat="1" ht="52.5" customHeight="1" x14ac:dyDescent="0.45">
      <c r="B5" s="5" t="s">
        <v>63</v>
      </c>
      <c r="C5" s="5" t="s">
        <v>0</v>
      </c>
      <c r="D5" s="5" t="s">
        <v>46</v>
      </c>
      <c r="E5" s="5" t="s">
        <v>47</v>
      </c>
      <c r="F5" s="5" t="s">
        <v>55</v>
      </c>
      <c r="G5" s="5" t="s">
        <v>48</v>
      </c>
      <c r="H5" s="5" t="s">
        <v>44</v>
      </c>
      <c r="I5" s="52" t="s">
        <v>52</v>
      </c>
      <c r="J5" s="5" t="s">
        <v>49</v>
      </c>
      <c r="K5" s="5" t="s">
        <v>58</v>
      </c>
      <c r="L5" s="5" t="s">
        <v>50</v>
      </c>
      <c r="M5" s="5" t="s">
        <v>59</v>
      </c>
      <c r="N5" s="5" t="s">
        <v>51</v>
      </c>
      <c r="O5" s="5" t="s">
        <v>54</v>
      </c>
      <c r="P5" s="5" t="s">
        <v>53</v>
      </c>
      <c r="Q5" s="66" t="s">
        <v>61</v>
      </c>
    </row>
    <row r="6" spans="2:18" s="4" customFormat="1" ht="17.25" customHeight="1" thickBot="1" x14ac:dyDescent="0.5">
      <c r="B6" s="61"/>
      <c r="C6" s="61"/>
      <c r="D6" s="61"/>
      <c r="E6" s="61"/>
      <c r="F6" s="61"/>
      <c r="G6" s="61"/>
      <c r="H6" s="61"/>
      <c r="I6" s="78">
        <v>0.1</v>
      </c>
      <c r="J6" s="79">
        <v>0.12</v>
      </c>
      <c r="K6" s="79">
        <v>0.1</v>
      </c>
      <c r="L6" s="79">
        <v>7.0000000000000007E-2</v>
      </c>
      <c r="M6" s="79">
        <v>0.15</v>
      </c>
      <c r="N6" s="62"/>
      <c r="O6" s="62"/>
      <c r="P6" s="62"/>
      <c r="Q6" s="63"/>
    </row>
    <row r="7" spans="2:18" ht="14.65" thickTop="1" x14ac:dyDescent="0.45">
      <c r="B7" s="57" t="s">
        <v>2</v>
      </c>
      <c r="C7" s="67" t="s">
        <v>68</v>
      </c>
      <c r="D7" s="69">
        <v>22.8</v>
      </c>
      <c r="E7" s="68" t="s">
        <v>60</v>
      </c>
      <c r="F7" s="69">
        <v>42</v>
      </c>
      <c r="G7" s="69" t="s">
        <v>4</v>
      </c>
      <c r="H7" s="70">
        <v>5400</v>
      </c>
      <c r="I7" s="58">
        <f>SUM(D7*$I$6)</f>
        <v>2.2800000000000002</v>
      </c>
      <c r="J7" s="59">
        <f>SUM(D7*$J$6)</f>
        <v>2.7359999999999998</v>
      </c>
      <c r="K7" s="59">
        <f>SUM(D7*$K$6)</f>
        <v>2.2800000000000002</v>
      </c>
      <c r="L7" s="59">
        <f>SUM(D7*$L$6)</f>
        <v>1.5960000000000003</v>
      </c>
      <c r="M7" s="60">
        <f>SUM(I7+J7+K7+L7+D7)*$M$6</f>
        <v>4.7538</v>
      </c>
      <c r="N7" s="60">
        <f>SUM(I7:M7)+D7</f>
        <v>36.445800000000006</v>
      </c>
      <c r="O7" s="59">
        <f>SUM(F7-N7)</f>
        <v>5.5541999999999945</v>
      </c>
      <c r="P7" s="60">
        <f>SUM(H7*O7)</f>
        <v>29992.679999999971</v>
      </c>
      <c r="Q7" s="64">
        <f>SUM(O7/N7)</f>
        <v>0.15239616087450389</v>
      </c>
      <c r="R7" s="42"/>
    </row>
    <row r="8" spans="2:18" x14ac:dyDescent="0.45">
      <c r="B8" s="6" t="s">
        <v>2</v>
      </c>
      <c r="C8" s="71" t="s">
        <v>70</v>
      </c>
      <c r="D8" s="74">
        <v>54.8</v>
      </c>
      <c r="E8" s="73" t="s">
        <v>60</v>
      </c>
      <c r="F8" s="74">
        <v>90</v>
      </c>
      <c r="G8" s="74" t="s">
        <v>4</v>
      </c>
      <c r="H8" s="75">
        <v>2698</v>
      </c>
      <c r="I8" s="51">
        <f>SUM(D8*$I$6)</f>
        <v>5.48</v>
      </c>
      <c r="J8" s="53">
        <f>SUM(D8*$J$6)</f>
        <v>6.5759999999999996</v>
      </c>
      <c r="K8" s="53">
        <f>SUM(D8*$K$6)</f>
        <v>5.48</v>
      </c>
      <c r="L8" s="53">
        <f>SUM(D8*$L$6)</f>
        <v>3.8360000000000003</v>
      </c>
      <c r="M8" s="60">
        <f>SUM(I8+J8+K8+L8+D8)*$M$6</f>
        <v>11.425799999999999</v>
      </c>
      <c r="N8" s="60">
        <f>SUM(I8:M8)+D8</f>
        <v>87.597799999999992</v>
      </c>
      <c r="O8" s="53">
        <f>SUM(F8-N8)</f>
        <v>2.4022000000000077</v>
      </c>
      <c r="P8" s="54">
        <f>SUM(H8*O8)</f>
        <v>6481.1356000000205</v>
      </c>
      <c r="Q8" s="65">
        <f>SUM(O8/N8)</f>
        <v>2.7423063136288901E-2</v>
      </c>
      <c r="R8" s="42"/>
    </row>
    <row r="9" spans="2:18" x14ac:dyDescent="0.45">
      <c r="B9" s="6" t="s">
        <v>2</v>
      </c>
      <c r="C9" s="71" t="s">
        <v>71</v>
      </c>
      <c r="D9" s="74">
        <v>33.4</v>
      </c>
      <c r="E9" s="73" t="s">
        <v>60</v>
      </c>
      <c r="F9" s="74">
        <v>142</v>
      </c>
      <c r="G9" s="74" t="s">
        <v>4</v>
      </c>
      <c r="H9" s="75">
        <v>1800</v>
      </c>
      <c r="I9" s="51">
        <f>SUM(D9*$I$6)</f>
        <v>3.34</v>
      </c>
      <c r="J9" s="53">
        <f>SUM(D9*$J$6)</f>
        <v>4.008</v>
      </c>
      <c r="K9" s="53">
        <f>SUM(D9*$K$6)</f>
        <v>3.34</v>
      </c>
      <c r="L9" s="53">
        <f>SUM(D9*$L$6)</f>
        <v>2.3380000000000001</v>
      </c>
      <c r="M9" s="60">
        <f>SUM(I9+J9+K9+L9+D9)*$M$6</f>
        <v>6.9638999999999998</v>
      </c>
      <c r="N9" s="60">
        <f>SUM(I9:M9)+D9</f>
        <v>53.389899999999997</v>
      </c>
      <c r="O9" s="53">
        <f>SUM(F9-N9)</f>
        <v>88.610100000000003</v>
      </c>
      <c r="P9" s="54">
        <f>SUM(H9*O9)</f>
        <v>159498.18</v>
      </c>
      <c r="Q9" s="65">
        <f>SUM(O9/N9)</f>
        <v>1.6596790778780257</v>
      </c>
      <c r="R9" s="42"/>
    </row>
    <row r="10" spans="2:18" x14ac:dyDescent="0.45">
      <c r="B10" s="6" t="s">
        <v>2</v>
      </c>
      <c r="C10" s="71" t="s">
        <v>69</v>
      </c>
      <c r="D10" s="72">
        <v>8.35</v>
      </c>
      <c r="E10" s="73" t="s">
        <v>60</v>
      </c>
      <c r="F10" s="74">
        <v>20</v>
      </c>
      <c r="G10" s="74" t="s">
        <v>4</v>
      </c>
      <c r="H10" s="75">
        <v>1230</v>
      </c>
      <c r="I10" s="51">
        <f>SUM(D10*$I$6)</f>
        <v>0.83499999999999996</v>
      </c>
      <c r="J10" s="53">
        <f>SUM(D10*$J$6)</f>
        <v>1.002</v>
      </c>
      <c r="K10" s="53">
        <f>SUM(D10*$K$6)</f>
        <v>0.83499999999999996</v>
      </c>
      <c r="L10" s="53">
        <f>SUM(D10*$L$6)</f>
        <v>0.58450000000000002</v>
      </c>
      <c r="M10" s="60">
        <f>SUM(I10+J10+K10+L10+D10)*$M$6</f>
        <v>1.7409749999999999</v>
      </c>
      <c r="N10" s="60">
        <f>SUM(I10:M10)+D10</f>
        <v>13.347474999999999</v>
      </c>
      <c r="O10" s="53">
        <f>SUM(F10-N10)</f>
        <v>6.6525250000000007</v>
      </c>
      <c r="P10" s="54">
        <f>SUM(H10*O10)</f>
        <v>8182.6057500000006</v>
      </c>
      <c r="Q10" s="65">
        <f>SUM(O10/N10)</f>
        <v>0.49841074810029617</v>
      </c>
      <c r="R10" s="42"/>
    </row>
    <row r="11" spans="2:18" x14ac:dyDescent="0.45">
      <c r="B11" s="6" t="s">
        <v>2</v>
      </c>
      <c r="C11" s="71" t="s">
        <v>42</v>
      </c>
      <c r="D11" s="72">
        <v>120.95</v>
      </c>
      <c r="E11" s="73" t="s">
        <v>60</v>
      </c>
      <c r="F11" s="74">
        <v>160</v>
      </c>
      <c r="G11" s="74" t="s">
        <v>4</v>
      </c>
      <c r="H11" s="75">
        <v>1</v>
      </c>
      <c r="I11" s="51">
        <f>SUM(D11*$I$6)</f>
        <v>12.095000000000001</v>
      </c>
      <c r="J11" s="53">
        <f>SUM(D11*$J$6)</f>
        <v>14.513999999999999</v>
      </c>
      <c r="K11" s="53">
        <f>SUM(D11*$K$6)</f>
        <v>12.095000000000001</v>
      </c>
      <c r="L11" s="53">
        <f>SUM(D11*$L$6)</f>
        <v>8.4665000000000017</v>
      </c>
      <c r="M11" s="60">
        <f>SUM(I11+J11+K11+L11+D11)*$M$6</f>
        <v>25.218074999999999</v>
      </c>
      <c r="N11" s="60">
        <f>SUM(I11:M11)+D11</f>
        <v>193.33857499999999</v>
      </c>
      <c r="O11" s="53">
        <f>SUM(F11-N11)</f>
        <v>-33.338574999999992</v>
      </c>
      <c r="P11" s="54">
        <f>SUM(H11*O11)</f>
        <v>-33.338574999999992</v>
      </c>
      <c r="Q11" s="65">
        <f>SUM(O11/N11)</f>
        <v>-0.17243623006945197</v>
      </c>
      <c r="R11" s="42"/>
    </row>
    <row r="12" spans="2:18" x14ac:dyDescent="0.45">
      <c r="B12" s="6" t="s">
        <v>1</v>
      </c>
      <c r="C12" s="71" t="s">
        <v>64</v>
      </c>
      <c r="D12" s="72">
        <v>92</v>
      </c>
      <c r="E12" s="73" t="s">
        <v>60</v>
      </c>
      <c r="F12" s="74">
        <v>240</v>
      </c>
      <c r="G12" s="74" t="s">
        <v>4</v>
      </c>
      <c r="H12" s="75">
        <v>3000</v>
      </c>
      <c r="I12" s="51">
        <f>SUM(D12*$I$6)</f>
        <v>9.2000000000000011</v>
      </c>
      <c r="J12" s="53">
        <f>SUM(D12*$J$6)</f>
        <v>11.04</v>
      </c>
      <c r="K12" s="53">
        <f>SUM(D12*$K$6)</f>
        <v>9.2000000000000011</v>
      </c>
      <c r="L12" s="53">
        <f>SUM(D12*$L$6)</f>
        <v>6.44</v>
      </c>
      <c r="M12" s="60">
        <f>SUM(I12+J12+K12+L12+D12)*$M$6</f>
        <v>19.181999999999999</v>
      </c>
      <c r="N12" s="60">
        <f>SUM(I12:M12)+D12</f>
        <v>147.06200000000001</v>
      </c>
      <c r="O12" s="53">
        <f>SUM(F12-N12)</f>
        <v>92.937999999999988</v>
      </c>
      <c r="P12" s="54">
        <f>SUM(H12*O12)</f>
        <v>278813.99999999994</v>
      </c>
      <c r="Q12" s="65">
        <f>SUM(O12/N12)</f>
        <v>0.63196474956140936</v>
      </c>
      <c r="R12" s="42"/>
    </row>
    <row r="13" spans="2:18" x14ac:dyDescent="0.45">
      <c r="B13" s="6" t="s">
        <v>1</v>
      </c>
      <c r="C13" s="71" t="s">
        <v>65</v>
      </c>
      <c r="D13" s="72">
        <v>3.89</v>
      </c>
      <c r="E13" s="73" t="s">
        <v>60</v>
      </c>
      <c r="F13" s="74">
        <v>12.77</v>
      </c>
      <c r="G13" s="74" t="s">
        <v>4</v>
      </c>
      <c r="H13" s="75">
        <v>3000</v>
      </c>
      <c r="I13" s="51">
        <f>SUM(D13*$I$6)</f>
        <v>0.38900000000000001</v>
      </c>
      <c r="J13" s="53">
        <f>SUM(D13*$J$6)</f>
        <v>0.46679999999999999</v>
      </c>
      <c r="K13" s="53">
        <f>SUM(D13*$K$6)</f>
        <v>0.38900000000000001</v>
      </c>
      <c r="L13" s="53">
        <f>SUM(D13*$L$6)</f>
        <v>0.27230000000000004</v>
      </c>
      <c r="M13" s="60">
        <f>SUM(I13+J13+K13+L13+D13)*$M$6</f>
        <v>0.81106499999999992</v>
      </c>
      <c r="N13" s="60">
        <f>SUM(I13:M13)+D13</f>
        <v>6.2181650000000008</v>
      </c>
      <c r="O13" s="53">
        <f>SUM(F13-N13)</f>
        <v>6.5518349999999987</v>
      </c>
      <c r="P13" s="54">
        <f>SUM(H13*O13)</f>
        <v>19655.504999999997</v>
      </c>
      <c r="Q13" s="65">
        <f>SUM(O13/N13)</f>
        <v>1.0536605252514204</v>
      </c>
      <c r="R13" s="42"/>
    </row>
    <row r="14" spans="2:18" x14ac:dyDescent="0.45">
      <c r="B14" s="6" t="s">
        <v>1</v>
      </c>
      <c r="C14" s="71" t="s">
        <v>66</v>
      </c>
      <c r="D14" s="72">
        <v>83</v>
      </c>
      <c r="E14" s="73" t="s">
        <v>60</v>
      </c>
      <c r="F14" s="74">
        <v>180</v>
      </c>
      <c r="G14" s="74" t="s">
        <v>5</v>
      </c>
      <c r="H14" s="76">
        <v>2300</v>
      </c>
      <c r="I14" s="51">
        <f>SUM(D14*$I$6)</f>
        <v>8.3000000000000007</v>
      </c>
      <c r="J14" s="53">
        <f>SUM(D14*$J$6)</f>
        <v>9.9599999999999991</v>
      </c>
      <c r="K14" s="53">
        <f>SUM(D14*$K$6)</f>
        <v>8.3000000000000007</v>
      </c>
      <c r="L14" s="53">
        <f>SUM(D14*$L$6)</f>
        <v>5.8100000000000005</v>
      </c>
      <c r="M14" s="60">
        <f>SUM(I14+J14+K14+L14+D14)*$M$6</f>
        <v>17.305499999999999</v>
      </c>
      <c r="N14" s="60">
        <f>SUM(I14:M14)+D14</f>
        <v>132.6755</v>
      </c>
      <c r="O14" s="53">
        <f>SUM(F14-N14)</f>
        <v>47.3245</v>
      </c>
      <c r="P14" s="54">
        <f>SUM(H14*O14)</f>
        <v>108846.35</v>
      </c>
      <c r="Q14" s="65">
        <f>SUM(O14/N14)</f>
        <v>0.3566935869847862</v>
      </c>
      <c r="R14" s="42"/>
    </row>
    <row r="15" spans="2:18" x14ac:dyDescent="0.45">
      <c r="B15" s="6" t="s">
        <v>1</v>
      </c>
      <c r="C15" s="71" t="s">
        <v>67</v>
      </c>
      <c r="D15" s="72">
        <v>5.85</v>
      </c>
      <c r="E15" s="73" t="s">
        <v>60</v>
      </c>
      <c r="F15" s="74">
        <v>16.850000000000001</v>
      </c>
      <c r="G15" s="74" t="s">
        <v>5</v>
      </c>
      <c r="H15" s="76">
        <v>1880</v>
      </c>
      <c r="I15" s="51">
        <f>SUM(D15*$I$6)</f>
        <v>0.58499999999999996</v>
      </c>
      <c r="J15" s="53">
        <f>SUM(D15*$J$6)</f>
        <v>0.70199999999999996</v>
      </c>
      <c r="K15" s="53">
        <f>SUM(D15*$K$6)</f>
        <v>0.58499999999999996</v>
      </c>
      <c r="L15" s="53">
        <f>SUM(D15*$L$6)</f>
        <v>0.40950000000000003</v>
      </c>
      <c r="M15" s="60">
        <f>SUM(I15+J15+K15+L15+D15)*$M$6</f>
        <v>1.2197249999999997</v>
      </c>
      <c r="N15" s="60">
        <f>SUM(I15:M15)+D15</f>
        <v>9.3512249999999995</v>
      </c>
      <c r="O15" s="53">
        <f>SUM(F15-N15)</f>
        <v>7.498775000000002</v>
      </c>
      <c r="P15" s="54">
        <f>SUM(H15*O15)</f>
        <v>14097.697000000004</v>
      </c>
      <c r="Q15" s="65">
        <f>SUM(O15/N15)</f>
        <v>0.80190295923796107</v>
      </c>
      <c r="R15" s="42"/>
    </row>
    <row r="16" spans="2:18" x14ac:dyDescent="0.45">
      <c r="B16" s="6" t="s">
        <v>1</v>
      </c>
      <c r="C16" s="71" t="s">
        <v>42</v>
      </c>
      <c r="D16" s="72">
        <v>650</v>
      </c>
      <c r="E16" s="73" t="s">
        <v>60</v>
      </c>
      <c r="F16" s="74">
        <v>1500</v>
      </c>
      <c r="G16" s="74" t="s">
        <v>5</v>
      </c>
      <c r="H16" s="76">
        <v>1587</v>
      </c>
      <c r="I16" s="51">
        <f>SUM(D16*$I$6)</f>
        <v>65</v>
      </c>
      <c r="J16" s="53">
        <f>SUM(D16*$J$6)</f>
        <v>78</v>
      </c>
      <c r="K16" s="53">
        <f>SUM(D16*$K$6)</f>
        <v>65</v>
      </c>
      <c r="L16" s="53">
        <f>SUM(D16*$L$6)</f>
        <v>45.500000000000007</v>
      </c>
      <c r="M16" s="60">
        <f>SUM(I16+J16+K16+L16+D16)*$M$6</f>
        <v>135.52500000000001</v>
      </c>
      <c r="N16" s="60">
        <f>SUM(I16:M16)+D16</f>
        <v>1039.0250000000001</v>
      </c>
      <c r="O16" s="53">
        <f>SUM(F16-N16)</f>
        <v>460.97499999999991</v>
      </c>
      <c r="P16" s="54">
        <f>SUM(H16*O16)</f>
        <v>731567.32499999984</v>
      </c>
      <c r="Q16" s="65">
        <f>SUM(O16/N16)</f>
        <v>0.44366112461201596</v>
      </c>
      <c r="R16" s="42"/>
    </row>
    <row r="17" spans="2:18" x14ac:dyDescent="0.45">
      <c r="B17" s="6" t="s">
        <v>1</v>
      </c>
      <c r="C17" s="71" t="s">
        <v>42</v>
      </c>
      <c r="D17" s="72">
        <v>3.36</v>
      </c>
      <c r="E17" s="73" t="s">
        <v>60</v>
      </c>
      <c r="F17" s="74">
        <v>8.44</v>
      </c>
      <c r="G17" s="74" t="s">
        <v>5</v>
      </c>
      <c r="H17" s="76">
        <v>1526</v>
      </c>
      <c r="I17" s="51">
        <f>SUM(D17*$I$6)</f>
        <v>0.33600000000000002</v>
      </c>
      <c r="J17" s="53">
        <f>SUM(D17*$J$6)</f>
        <v>0.40319999999999995</v>
      </c>
      <c r="K17" s="53">
        <f>SUM(D17*$K$6)</f>
        <v>0.33600000000000002</v>
      </c>
      <c r="L17" s="53">
        <f>SUM(D17*$L$6)</f>
        <v>0.23520000000000002</v>
      </c>
      <c r="M17" s="60">
        <f>SUM(I17+J17+K17+L17+D17)*$M$6</f>
        <v>0.70055999999999996</v>
      </c>
      <c r="N17" s="60">
        <f>SUM(I17:M17)+D17</f>
        <v>5.3709600000000002</v>
      </c>
      <c r="O17" s="53">
        <f>SUM(F17-N17)</f>
        <v>3.0690399999999993</v>
      </c>
      <c r="P17" s="54">
        <f>SUM(H17*O17)</f>
        <v>4683.3550399999986</v>
      </c>
      <c r="Q17" s="65">
        <f>SUM(O17/N17)</f>
        <v>0.5714136765122062</v>
      </c>
      <c r="R17" s="42"/>
    </row>
    <row r="18" spans="2:18" x14ac:dyDescent="0.45">
      <c r="B18" s="6" t="s">
        <v>1</v>
      </c>
      <c r="C18" s="71" t="s">
        <v>42</v>
      </c>
      <c r="D18" s="72">
        <v>9.5</v>
      </c>
      <c r="E18" s="73" t="s">
        <v>60</v>
      </c>
      <c r="F18" s="74">
        <v>12</v>
      </c>
      <c r="G18" s="74" t="s">
        <v>5</v>
      </c>
      <c r="H18" s="76">
        <v>1500</v>
      </c>
      <c r="I18" s="51">
        <f>SUM(D18*$I$6)</f>
        <v>0.95000000000000007</v>
      </c>
      <c r="J18" s="53">
        <f>SUM(D18*$J$6)</f>
        <v>1.1399999999999999</v>
      </c>
      <c r="K18" s="53">
        <f>SUM(D18*$K$6)</f>
        <v>0.95000000000000007</v>
      </c>
      <c r="L18" s="53">
        <f>SUM(D18*$L$6)</f>
        <v>0.66500000000000004</v>
      </c>
      <c r="M18" s="60">
        <f>SUM(I18+J18+K18+L18+D18)*$M$6</f>
        <v>1.98075</v>
      </c>
      <c r="N18" s="60">
        <f>SUM(I18:M18)+D18</f>
        <v>15.185750000000001</v>
      </c>
      <c r="O18" s="53">
        <f>SUM(F18-N18)</f>
        <v>-3.1857500000000005</v>
      </c>
      <c r="P18" s="54">
        <f>SUM(H18*O18)</f>
        <v>-4778.6250000000009</v>
      </c>
      <c r="Q18" s="65">
        <f>SUM(O18/N18)</f>
        <v>-0.2097854896860544</v>
      </c>
      <c r="R18" s="42"/>
    </row>
    <row r="19" spans="2:18" x14ac:dyDescent="0.45">
      <c r="B19" s="6" t="s">
        <v>1</v>
      </c>
      <c r="C19" s="71" t="s">
        <v>42</v>
      </c>
      <c r="D19" s="74">
        <v>195</v>
      </c>
      <c r="E19" s="73" t="s">
        <v>60</v>
      </c>
      <c r="F19" s="74">
        <v>597</v>
      </c>
      <c r="G19" s="74" t="s">
        <v>4</v>
      </c>
      <c r="H19" s="76">
        <v>1352</v>
      </c>
      <c r="I19" s="51">
        <f>SUM(D19*$I$6)</f>
        <v>19.5</v>
      </c>
      <c r="J19" s="53">
        <f>SUM(D19*$J$6)</f>
        <v>23.4</v>
      </c>
      <c r="K19" s="53">
        <f>SUM(D19*$K$6)</f>
        <v>19.5</v>
      </c>
      <c r="L19" s="53">
        <f>SUM(D19*$L$6)</f>
        <v>13.650000000000002</v>
      </c>
      <c r="M19" s="60">
        <f>SUM(I19+J19+K19+L19+D19)*$M$6</f>
        <v>40.657499999999999</v>
      </c>
      <c r="N19" s="60">
        <f>SUM(I19:M19)+D19</f>
        <v>311.70749999999998</v>
      </c>
      <c r="O19" s="53">
        <f>SUM(F19-N19)</f>
        <v>285.29250000000002</v>
      </c>
      <c r="P19" s="54">
        <f>SUM(H19*O19)</f>
        <v>385715.46</v>
      </c>
      <c r="Q19" s="65">
        <f>SUM(O19/N19)</f>
        <v>0.91525709198527472</v>
      </c>
      <c r="R19" s="42"/>
    </row>
    <row r="20" spans="2:18" x14ac:dyDescent="0.45">
      <c r="B20" s="6" t="s">
        <v>1</v>
      </c>
      <c r="C20" s="71" t="s">
        <v>42</v>
      </c>
      <c r="D20" s="72">
        <v>4.53</v>
      </c>
      <c r="E20" s="73" t="s">
        <v>60</v>
      </c>
      <c r="F20" s="74">
        <v>13</v>
      </c>
      <c r="G20" s="74" t="s">
        <v>5</v>
      </c>
      <c r="H20" s="76">
        <v>200</v>
      </c>
      <c r="I20" s="51">
        <f>SUM(D20*$I$6)</f>
        <v>0.45300000000000007</v>
      </c>
      <c r="J20" s="53">
        <f>SUM(D20*$J$6)</f>
        <v>0.54359999999999997</v>
      </c>
      <c r="K20" s="53">
        <f>SUM(D20*$K$6)</f>
        <v>0.45300000000000007</v>
      </c>
      <c r="L20" s="53">
        <f>SUM(D20*$L$6)</f>
        <v>0.31710000000000005</v>
      </c>
      <c r="M20" s="60">
        <f>SUM(I20+J20+K20+L20+D20)*$M$6</f>
        <v>0.94450500000000004</v>
      </c>
      <c r="N20" s="60">
        <f>SUM(I20:M20)+D20</f>
        <v>7.2412050000000008</v>
      </c>
      <c r="O20" s="53">
        <f>SUM(F20-N20)</f>
        <v>5.7587949999999992</v>
      </c>
      <c r="P20" s="54">
        <f>SUM(H20*O20)</f>
        <v>1151.7589999999998</v>
      </c>
      <c r="Q20" s="65">
        <f>SUM(O20/N20)</f>
        <v>0.79528131022391968</v>
      </c>
      <c r="R20" s="42"/>
    </row>
    <row r="21" spans="2:18" x14ac:dyDescent="0.45">
      <c r="B21" s="6" t="s">
        <v>1</v>
      </c>
      <c r="C21" s="71" t="s">
        <v>42</v>
      </c>
      <c r="D21" s="72">
        <v>8.8000000000000007</v>
      </c>
      <c r="E21" s="73" t="s">
        <v>60</v>
      </c>
      <c r="F21" s="74">
        <v>12</v>
      </c>
      <c r="G21" s="74" t="s">
        <v>5</v>
      </c>
      <c r="H21" s="76">
        <v>200</v>
      </c>
      <c r="I21" s="51">
        <f>SUM(D21*$I$6)</f>
        <v>0.88000000000000012</v>
      </c>
      <c r="J21" s="53">
        <f>SUM(D21*$J$6)</f>
        <v>1.056</v>
      </c>
      <c r="K21" s="53">
        <f>SUM(D21*$K$6)</f>
        <v>0.88000000000000012</v>
      </c>
      <c r="L21" s="53">
        <f>SUM(D21*$L$6)</f>
        <v>0.6160000000000001</v>
      </c>
      <c r="M21" s="60">
        <f>SUM(I21+J21+K21+L21+D21)*$M$6</f>
        <v>1.8348</v>
      </c>
      <c r="N21" s="60">
        <f>SUM(I21:M21)+D21</f>
        <v>14.066800000000001</v>
      </c>
      <c r="O21" s="53">
        <f>SUM(F21-N21)</f>
        <v>-2.0668000000000006</v>
      </c>
      <c r="P21" s="54">
        <f>SUM(H21*O21)</f>
        <v>-413.36000000000013</v>
      </c>
      <c r="Q21" s="65">
        <f>SUM(O21/N21)</f>
        <v>-0.14692751727471781</v>
      </c>
      <c r="R21" s="42"/>
    </row>
    <row r="22" spans="2:18" x14ac:dyDescent="0.45">
      <c r="B22" s="6" t="s">
        <v>1</v>
      </c>
      <c r="C22" s="71" t="s">
        <v>42</v>
      </c>
      <c r="D22" s="72">
        <v>128.94999999999999</v>
      </c>
      <c r="E22" s="73" t="s">
        <v>60</v>
      </c>
      <c r="F22" s="74">
        <v>350</v>
      </c>
      <c r="G22" s="74" t="s">
        <v>4</v>
      </c>
      <c r="H22" s="76">
        <v>1</v>
      </c>
      <c r="I22" s="51">
        <f>SUM(D22*$I$6)</f>
        <v>12.895</v>
      </c>
      <c r="J22" s="53">
        <f>SUM(D22*$J$6)</f>
        <v>15.473999999999998</v>
      </c>
      <c r="K22" s="53">
        <f>SUM(D22*$K$6)</f>
        <v>12.895</v>
      </c>
      <c r="L22" s="53">
        <f>SUM(D22*$L$6)</f>
        <v>9.0265000000000004</v>
      </c>
      <c r="M22" s="60">
        <f>SUM(I22+J22+K22+L22+D22)*$M$6</f>
        <v>26.886074999999998</v>
      </c>
      <c r="N22" s="60">
        <f>SUM(I22:M22)+D22</f>
        <v>206.12657499999997</v>
      </c>
      <c r="O22" s="53">
        <f>SUM(F22-N22)</f>
        <v>143.87342500000003</v>
      </c>
      <c r="P22" s="54">
        <f>SUM(H22*O22)</f>
        <v>143.87342500000003</v>
      </c>
      <c r="Q22" s="65">
        <f>SUM(O22/N22)</f>
        <v>0.69798581284339511</v>
      </c>
      <c r="R22" s="42"/>
    </row>
    <row r="23" spans="2:18" x14ac:dyDescent="0.45">
      <c r="B23" s="6" t="s">
        <v>1</v>
      </c>
      <c r="C23" s="71" t="s">
        <v>62</v>
      </c>
      <c r="D23" s="72">
        <v>50</v>
      </c>
      <c r="E23" s="73" t="s">
        <v>60</v>
      </c>
      <c r="F23" s="74">
        <v>140</v>
      </c>
      <c r="G23" s="74" t="s">
        <v>41</v>
      </c>
      <c r="H23" s="76">
        <v>1</v>
      </c>
      <c r="I23" s="51">
        <f>SUM(D23*$I$6)</f>
        <v>5</v>
      </c>
      <c r="J23" s="53">
        <f>SUM(D23*$J$6)</f>
        <v>6</v>
      </c>
      <c r="K23" s="53">
        <f>SUM(D23*$K$6)</f>
        <v>5</v>
      </c>
      <c r="L23" s="53">
        <f>SUM(D23*$L$6)</f>
        <v>3.5000000000000004</v>
      </c>
      <c r="M23" s="60">
        <f>SUM(I23+J23+K23+L23+D23)*$M$6</f>
        <v>10.424999999999999</v>
      </c>
      <c r="N23" s="60">
        <f>SUM(I23:M23)+D23</f>
        <v>79.924999999999997</v>
      </c>
      <c r="O23" s="53">
        <f>SUM(F23-N23)</f>
        <v>60.075000000000003</v>
      </c>
      <c r="P23" s="54">
        <f>SUM(H23*O23)</f>
        <v>60.075000000000003</v>
      </c>
      <c r="Q23" s="80">
        <f>SUM(O23/N23)</f>
        <v>0.75164216452924626</v>
      </c>
      <c r="R23" s="42"/>
    </row>
    <row r="24" spans="2:18" x14ac:dyDescent="0.45">
      <c r="B24" s="6" t="s">
        <v>1</v>
      </c>
      <c r="C24" s="71" t="s">
        <v>42</v>
      </c>
      <c r="D24" s="72">
        <v>135</v>
      </c>
      <c r="E24" s="73" t="s">
        <v>60</v>
      </c>
      <c r="F24" s="74">
        <v>260</v>
      </c>
      <c r="G24" s="74" t="s">
        <v>41</v>
      </c>
      <c r="H24" s="76">
        <v>1</v>
      </c>
      <c r="I24" s="51">
        <f>SUM(D24*$I$6)</f>
        <v>13.5</v>
      </c>
      <c r="J24" s="53">
        <f>SUM(D24*$J$6)</f>
        <v>16.2</v>
      </c>
      <c r="K24" s="53">
        <f>SUM(D24*$K$6)</f>
        <v>13.5</v>
      </c>
      <c r="L24" s="53">
        <f>SUM(D24*$L$6)</f>
        <v>9.4500000000000011</v>
      </c>
      <c r="M24" s="60">
        <f>SUM(I24+J24+K24+L24+D24)*$M$6</f>
        <v>28.147500000000001</v>
      </c>
      <c r="N24" s="60">
        <f>SUM(I24:M24)+D24</f>
        <v>215.79750000000001</v>
      </c>
      <c r="O24" s="53">
        <f>SUM(F24-N24)</f>
        <v>44.202499999999986</v>
      </c>
      <c r="P24" s="54">
        <f>SUM(H24*O24)</f>
        <v>44.202499999999986</v>
      </c>
      <c r="Q24" s="80">
        <f>SUM(O24/N24)</f>
        <v>0.20483323486138619</v>
      </c>
      <c r="R24" s="42"/>
    </row>
    <row r="25" spans="2:18" x14ac:dyDescent="0.45">
      <c r="B25" s="6" t="s">
        <v>1</v>
      </c>
      <c r="C25" s="71" t="s">
        <v>42</v>
      </c>
      <c r="D25" s="72">
        <v>124.9</v>
      </c>
      <c r="E25" s="73" t="s">
        <v>60</v>
      </c>
      <c r="F25" s="74">
        <v>230</v>
      </c>
      <c r="G25" s="74" t="s">
        <v>4</v>
      </c>
      <c r="H25" s="76">
        <v>1</v>
      </c>
      <c r="I25" s="51">
        <f>SUM(D25*$I$6)</f>
        <v>12.490000000000002</v>
      </c>
      <c r="J25" s="53">
        <f>SUM(D25*$J$6)</f>
        <v>14.988</v>
      </c>
      <c r="K25" s="53">
        <f>SUM(D25*$K$6)</f>
        <v>12.490000000000002</v>
      </c>
      <c r="L25" s="53">
        <f>SUM(D25*$L$6)</f>
        <v>8.7430000000000021</v>
      </c>
      <c r="M25" s="60">
        <f>SUM(I25+J25+K25+L25+D25)*$M$6</f>
        <v>26.041650000000001</v>
      </c>
      <c r="N25" s="60">
        <f>SUM(I25:M25)+D25</f>
        <v>199.65264999999999</v>
      </c>
      <c r="O25" s="53">
        <f>SUM(F25-N25)</f>
        <v>30.347350000000006</v>
      </c>
      <c r="P25" s="54">
        <f>SUM(H25*O25)</f>
        <v>30.347350000000006</v>
      </c>
      <c r="Q25" s="65">
        <f>SUM(O25/N25)</f>
        <v>0.15200073728047189</v>
      </c>
      <c r="R25" s="42"/>
    </row>
    <row r="26" spans="2:18" x14ac:dyDescent="0.45">
      <c r="B26" s="6" t="s">
        <v>1</v>
      </c>
      <c r="C26" s="71" t="s">
        <v>42</v>
      </c>
      <c r="D26" s="72">
        <v>27</v>
      </c>
      <c r="E26" s="73" t="s">
        <v>60</v>
      </c>
      <c r="F26" s="74">
        <v>62</v>
      </c>
      <c r="G26" s="74" t="s">
        <v>4</v>
      </c>
      <c r="H26" s="76">
        <v>1</v>
      </c>
      <c r="I26" s="51">
        <f>SUM(D26*$I$6)</f>
        <v>2.7</v>
      </c>
      <c r="J26" s="53">
        <f>SUM(D26*$J$6)</f>
        <v>3.2399999999999998</v>
      </c>
      <c r="K26" s="53">
        <f>SUM(D26*$K$6)</f>
        <v>2.7</v>
      </c>
      <c r="L26" s="53">
        <f>SUM(D26*$L$6)</f>
        <v>1.8900000000000001</v>
      </c>
      <c r="M26" s="60">
        <f>SUM(I26+J26+K26+L26+D26)*$M$6</f>
        <v>5.6295000000000002</v>
      </c>
      <c r="N26" s="60">
        <f>SUM(I26:M26)+D26</f>
        <v>43.159500000000001</v>
      </c>
      <c r="O26" s="53">
        <f>SUM(F26-N26)</f>
        <v>18.840499999999999</v>
      </c>
      <c r="P26" s="54">
        <f>SUM(H26*O26)</f>
        <v>18.840499999999999</v>
      </c>
      <c r="Q26" s="65">
        <f>SUM(O26/N26)</f>
        <v>0.43653193387319128</v>
      </c>
      <c r="R26" s="42"/>
    </row>
    <row r="27" spans="2:18" x14ac:dyDescent="0.45">
      <c r="B27" s="6" t="s">
        <v>1</v>
      </c>
      <c r="C27" s="71" t="s">
        <v>42</v>
      </c>
      <c r="D27" s="72">
        <v>84</v>
      </c>
      <c r="E27" s="73" t="s">
        <v>60</v>
      </c>
      <c r="F27" s="74">
        <v>140</v>
      </c>
      <c r="G27" s="74" t="s">
        <v>5</v>
      </c>
      <c r="H27" s="76">
        <v>1</v>
      </c>
      <c r="I27" s="51">
        <f>SUM(D27*$I$6)</f>
        <v>8.4</v>
      </c>
      <c r="J27" s="53">
        <f>SUM(D27*$J$6)</f>
        <v>10.08</v>
      </c>
      <c r="K27" s="53">
        <f>SUM(D27*$K$6)</f>
        <v>8.4</v>
      </c>
      <c r="L27" s="53">
        <f>SUM(D27*$L$6)</f>
        <v>5.8800000000000008</v>
      </c>
      <c r="M27" s="60">
        <f>SUM(I27+J27+K27+L27+D27)*$M$6</f>
        <v>17.513999999999999</v>
      </c>
      <c r="N27" s="60">
        <f>SUM(I27:M27)+D27</f>
        <v>134.274</v>
      </c>
      <c r="O27" s="53">
        <f>SUM(F27-N27)</f>
        <v>5.7259999999999991</v>
      </c>
      <c r="P27" s="54">
        <f>SUM(H27*O27)</f>
        <v>5.7259999999999991</v>
      </c>
      <c r="Q27" s="65">
        <f>SUM(O27/N27)</f>
        <v>4.2644145553122709E-2</v>
      </c>
      <c r="R27" s="42"/>
    </row>
    <row r="28" spans="2:18" x14ac:dyDescent="0.45">
      <c r="B28" s="6" t="s">
        <v>1</v>
      </c>
      <c r="C28" s="71" t="s">
        <v>42</v>
      </c>
      <c r="D28" s="74">
        <v>77</v>
      </c>
      <c r="E28" s="73" t="s">
        <v>60</v>
      </c>
      <c r="F28" s="74">
        <v>115</v>
      </c>
      <c r="G28" s="74" t="s">
        <v>4</v>
      </c>
      <c r="H28" s="76">
        <v>1</v>
      </c>
      <c r="I28" s="51">
        <f>SUM(D28*$I$6)</f>
        <v>7.7</v>
      </c>
      <c r="J28" s="53">
        <f>SUM(D28*$J$6)</f>
        <v>9.24</v>
      </c>
      <c r="K28" s="53">
        <f>SUM(D28*$K$6)</f>
        <v>7.7</v>
      </c>
      <c r="L28" s="53">
        <f>SUM(D28*$L$6)</f>
        <v>5.3900000000000006</v>
      </c>
      <c r="M28" s="60">
        <f>SUM(I28+J28+K28+L28+D28)*$M$6</f>
        <v>16.054500000000001</v>
      </c>
      <c r="N28" s="60">
        <f>SUM(I28:M28)+D28</f>
        <v>123.08450000000001</v>
      </c>
      <c r="O28" s="53">
        <f>SUM(F28-N28)</f>
        <v>-8.0845000000000056</v>
      </c>
      <c r="P28" s="54">
        <f>SUM(H28*O28)</f>
        <v>-8.0845000000000056</v>
      </c>
      <c r="Q28" s="65">
        <f>SUM(O28/N28)</f>
        <v>-6.5682518919929031E-2</v>
      </c>
      <c r="R28" s="42"/>
    </row>
    <row r="29" spans="2:18" x14ac:dyDescent="0.45">
      <c r="B29" s="6" t="s">
        <v>1</v>
      </c>
      <c r="C29" s="71" t="s">
        <v>42</v>
      </c>
      <c r="D29" s="72">
        <v>235</v>
      </c>
      <c r="E29" s="73" t="s">
        <v>60</v>
      </c>
      <c r="F29" s="74">
        <v>350</v>
      </c>
      <c r="G29" s="74" t="s">
        <v>4</v>
      </c>
      <c r="H29" s="76">
        <v>1</v>
      </c>
      <c r="I29" s="51">
        <f>SUM(D29*$I$6)</f>
        <v>23.5</v>
      </c>
      <c r="J29" s="53">
        <f>SUM(D29*$J$6)</f>
        <v>28.2</v>
      </c>
      <c r="K29" s="53">
        <f>SUM(D29*$K$6)</f>
        <v>23.5</v>
      </c>
      <c r="L29" s="53">
        <f>SUM(D29*$L$6)</f>
        <v>16.450000000000003</v>
      </c>
      <c r="M29" s="60">
        <f>SUM(I29+J29+K29+L29+D29)*$M$6</f>
        <v>48.997499999999995</v>
      </c>
      <c r="N29" s="60">
        <f>SUM(I29:M29)+D29</f>
        <v>375.64750000000004</v>
      </c>
      <c r="O29" s="53">
        <f>SUM(F29-N29)</f>
        <v>-25.647500000000036</v>
      </c>
      <c r="P29" s="54">
        <f>SUM(H29*O29)</f>
        <v>-25.647500000000036</v>
      </c>
      <c r="Q29" s="65">
        <f>SUM(O29/N29)</f>
        <v>-6.8275444399337235E-2</v>
      </c>
      <c r="R29" s="42"/>
    </row>
    <row r="30" spans="2:18" x14ac:dyDescent="0.45">
      <c r="B30" s="6" t="s">
        <v>3</v>
      </c>
      <c r="C30" s="71" t="s">
        <v>42</v>
      </c>
      <c r="D30" s="72" t="s">
        <v>3</v>
      </c>
      <c r="E30" s="73"/>
      <c r="F30" s="74"/>
      <c r="G30" s="74"/>
      <c r="H30" s="76"/>
      <c r="I30" s="51" t="e">
        <f>SUM(D30*$I$6)</f>
        <v>#VALUE!</v>
      </c>
      <c r="J30" s="53" t="e">
        <f>SUM(D30*$J$6)</f>
        <v>#VALUE!</v>
      </c>
      <c r="K30" s="53" t="e">
        <f>SUM(D30*$K$6)</f>
        <v>#VALUE!</v>
      </c>
      <c r="L30" s="53" t="e">
        <f>SUM(D30*$L$6)</f>
        <v>#VALUE!</v>
      </c>
      <c r="M30" s="60" t="e">
        <f>SUM(I30+J30+K30+L30+D30)*$M$6</f>
        <v>#VALUE!</v>
      </c>
      <c r="N30" s="54" t="e">
        <f>SUM(I30:L30)+D30</f>
        <v>#VALUE!</v>
      </c>
      <c r="O30" s="53" t="e">
        <f>SUM(F30-N30)</f>
        <v>#VALUE!</v>
      </c>
      <c r="P30" s="54" t="e">
        <f>SUM(H30*O30)</f>
        <v>#VALUE!</v>
      </c>
      <c r="Q30" s="65"/>
    </row>
    <row r="31" spans="2:18" x14ac:dyDescent="0.45">
      <c r="B31" s="6" t="s">
        <v>3</v>
      </c>
      <c r="C31" s="71" t="s">
        <v>42</v>
      </c>
      <c r="D31" s="71" t="s">
        <v>3</v>
      </c>
      <c r="E31" s="73"/>
      <c r="F31" s="73"/>
      <c r="G31" s="73"/>
      <c r="H31" s="76"/>
      <c r="I31" s="51" t="e">
        <f>SUM(D31*$I$6)</f>
        <v>#VALUE!</v>
      </c>
      <c r="J31" s="53" t="e">
        <f>SUM(D31*$J$6)</f>
        <v>#VALUE!</v>
      </c>
      <c r="K31" s="53" t="e">
        <f>SUM(D31*$K$6)</f>
        <v>#VALUE!</v>
      </c>
      <c r="L31" s="53" t="e">
        <f>SUM(D31*$L$6)</f>
        <v>#VALUE!</v>
      </c>
      <c r="M31" s="60" t="e">
        <f>SUM(I31+J31+K31+L31+D31)*$M$6</f>
        <v>#VALUE!</v>
      </c>
      <c r="N31" s="54" t="e">
        <f>SUM(I31:L31)+D31</f>
        <v>#VALUE!</v>
      </c>
      <c r="O31" s="53" t="e">
        <f>SUM(F31-N31)</f>
        <v>#VALUE!</v>
      </c>
      <c r="P31" s="54" t="e">
        <f>SUM(H31*O31)</f>
        <v>#VALUE!</v>
      </c>
      <c r="Q31" s="65"/>
    </row>
    <row r="32" spans="2:18" x14ac:dyDescent="0.45">
      <c r="B32" s="6" t="s">
        <v>3</v>
      </c>
      <c r="C32" s="71" t="s">
        <v>42</v>
      </c>
      <c r="D32" s="71" t="s">
        <v>3</v>
      </c>
      <c r="E32" s="73"/>
      <c r="F32" s="73"/>
      <c r="G32" s="73"/>
      <c r="H32" s="76"/>
      <c r="I32" s="51" t="e">
        <f>SUM(D32*$I$6)</f>
        <v>#VALUE!</v>
      </c>
      <c r="J32" s="53" t="e">
        <f>SUM(D32*$J$6)</f>
        <v>#VALUE!</v>
      </c>
      <c r="K32" s="53" t="e">
        <f>SUM(D32*$K$6)</f>
        <v>#VALUE!</v>
      </c>
      <c r="L32" s="53" t="e">
        <f>SUM(D32*$L$6)</f>
        <v>#VALUE!</v>
      </c>
      <c r="M32" s="60" t="e">
        <f>SUM(I32+J32+K32+L32+D32)*$M$6</f>
        <v>#VALUE!</v>
      </c>
      <c r="N32" s="54" t="e">
        <f>SUM(I32:L32)+D32</f>
        <v>#VALUE!</v>
      </c>
      <c r="O32" s="53" t="e">
        <f>SUM(F32-N32)</f>
        <v>#VALUE!</v>
      </c>
      <c r="P32" s="54" t="e">
        <f>SUM(H32*O32)</f>
        <v>#VALUE!</v>
      </c>
      <c r="Q32" s="65"/>
    </row>
    <row r="33" spans="2:17" x14ac:dyDescent="0.45">
      <c r="B33" s="6"/>
      <c r="C33" s="71"/>
      <c r="D33" s="71"/>
      <c r="E33" s="71"/>
      <c r="F33" s="71"/>
      <c r="G33" s="71"/>
      <c r="H33" s="76"/>
      <c r="I33" s="50"/>
      <c r="J33" s="55"/>
      <c r="K33" s="55"/>
      <c r="L33" s="55"/>
      <c r="M33" s="56"/>
      <c r="N33" s="56"/>
      <c r="O33" s="55"/>
      <c r="P33" s="56"/>
      <c r="Q33" s="65"/>
    </row>
  </sheetData>
  <autoFilter ref="B6:Q6" xr:uid="{00000000-0009-0000-0000-000000000000}">
    <sortState xmlns:xlrd2="http://schemas.microsoft.com/office/spreadsheetml/2017/richdata2" ref="B7:Q32">
      <sortCondition ref="B6"/>
    </sortState>
  </autoFilter>
  <mergeCells count="3">
    <mergeCell ref="D4:H4"/>
    <mergeCell ref="B2:P2"/>
    <mergeCell ref="I4:Q4"/>
  </mergeCells>
  <conditionalFormatting sqref="O7:O32">
    <cfRule type="cellIs" dxfId="3" priority="3" operator="greaterThan">
      <formula>0</formula>
    </cfRule>
  </conditionalFormatting>
  <conditionalFormatting sqref="O7:O29">
    <cfRule type="cellIs" dxfId="2" priority="2" operator="lessThan">
      <formula>0</formula>
    </cfRule>
  </conditionalFormatting>
  <conditionalFormatting sqref="P7:P33">
    <cfRule type="colorScale" priority="7">
      <colorScale>
        <cfvo type="min"/>
        <cfvo type="percentile" val="50"/>
        <cfvo type="max"/>
        <color rgb="FFF8696B"/>
        <color rgb="FFFFEB84"/>
        <color rgb="FF63BE7B"/>
      </colorScale>
    </cfRule>
    <cfRule type="cellIs" dxfId="1" priority="8" operator="greaterThan">
      <formula>0</formula>
    </cfRule>
    <cfRule type="cellIs" dxfId="0" priority="9" operator="lessThan">
      <formula>0</formula>
    </cfRule>
  </conditionalFormatting>
  <conditionalFormatting sqref="Q7:Q33">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26"/>
  <sheetViews>
    <sheetView zoomScaleNormal="100" zoomScaleSheetLayoutView="140" workbookViewId="0">
      <selection activeCell="I4" sqref="I4"/>
    </sheetView>
  </sheetViews>
  <sheetFormatPr defaultColWidth="9.1328125" defaultRowHeight="14.25" x14ac:dyDescent="0.45"/>
  <cols>
    <col min="1" max="1" width="9.1328125" style="1"/>
    <col min="2" max="2" width="32.73046875" style="1" customWidth="1"/>
    <col min="3" max="3" width="13.265625" style="1" bestFit="1" customWidth="1"/>
    <col min="4" max="4" width="10.59765625" style="1" customWidth="1"/>
    <col min="5" max="5" width="10.59765625" style="1" bestFit="1" customWidth="1"/>
    <col min="6" max="6" width="10.265625" style="1" bestFit="1" customWidth="1"/>
    <col min="7" max="7" width="11.3984375" style="1" bestFit="1" customWidth="1"/>
    <col min="8" max="8" width="11.59765625" style="1" bestFit="1" customWidth="1"/>
    <col min="9" max="9" width="12.265625" style="1" customWidth="1"/>
    <col min="10" max="10" width="9.73046875" style="1" bestFit="1" customWidth="1"/>
    <col min="11" max="11" width="10.59765625" style="1" bestFit="1" customWidth="1"/>
    <col min="12" max="12" width="10.265625" style="1" customWidth="1"/>
    <col min="13" max="13" width="8.73046875" style="1" bestFit="1" customWidth="1"/>
    <col min="14" max="16384" width="9.1328125" style="1"/>
  </cols>
  <sheetData>
    <row r="2" spans="1:14" x14ac:dyDescent="0.45">
      <c r="A2" s="32"/>
      <c r="B2" s="13"/>
      <c r="C2" s="13" t="s">
        <v>6</v>
      </c>
      <c r="D2" s="13" t="s">
        <v>9</v>
      </c>
      <c r="E2" s="13" t="s">
        <v>18</v>
      </c>
      <c r="F2" s="13" t="s">
        <v>43</v>
      </c>
      <c r="G2" s="13" t="s">
        <v>9</v>
      </c>
      <c r="H2" s="13" t="s">
        <v>11</v>
      </c>
      <c r="I2" s="13" t="s">
        <v>51</v>
      </c>
      <c r="J2" s="13" t="s">
        <v>16</v>
      </c>
      <c r="K2" s="13" t="s">
        <v>13</v>
      </c>
      <c r="L2" s="13" t="s">
        <v>16</v>
      </c>
      <c r="M2" s="29" t="s">
        <v>29</v>
      </c>
      <c r="N2" s="30" t="s">
        <v>15</v>
      </c>
    </row>
    <row r="3" spans="1:14" x14ac:dyDescent="0.45">
      <c r="A3" s="32"/>
      <c r="B3" s="13" t="s">
        <v>0</v>
      </c>
      <c r="C3" s="13" t="s">
        <v>8</v>
      </c>
      <c r="D3" s="13" t="s">
        <v>7</v>
      </c>
      <c r="E3" s="13" t="s">
        <v>10</v>
      </c>
      <c r="F3" s="13" t="s">
        <v>14</v>
      </c>
      <c r="G3" s="13" t="s">
        <v>12</v>
      </c>
      <c r="H3" s="13" t="s">
        <v>12</v>
      </c>
      <c r="I3" s="13" t="s">
        <v>14</v>
      </c>
      <c r="J3" s="13" t="s">
        <v>17</v>
      </c>
      <c r="K3" s="13" t="s">
        <v>14</v>
      </c>
      <c r="L3" s="28" t="s">
        <v>12</v>
      </c>
      <c r="M3" s="30" t="s">
        <v>14</v>
      </c>
      <c r="N3" s="30" t="s">
        <v>30</v>
      </c>
    </row>
    <row r="4" spans="1:14" x14ac:dyDescent="0.45">
      <c r="A4" s="88" t="s">
        <v>35</v>
      </c>
      <c r="B4" s="3" t="s">
        <v>42</v>
      </c>
      <c r="C4" s="3">
        <v>1.65</v>
      </c>
      <c r="D4" s="7">
        <f>SUM(C4*1.58)</f>
        <v>2.6069999999999998</v>
      </c>
      <c r="E4" s="21">
        <v>100</v>
      </c>
      <c r="F4" s="8">
        <v>2</v>
      </c>
      <c r="G4" s="9">
        <f>SUM(D4*E4)</f>
        <v>260.7</v>
      </c>
      <c r="H4" s="10">
        <f>SUM(E4*F4)</f>
        <v>200</v>
      </c>
      <c r="I4" s="10"/>
      <c r="J4" s="20">
        <v>5.2</v>
      </c>
      <c r="K4" s="19">
        <f>SUM(J4*0.73)</f>
        <v>3.7959999999999998</v>
      </c>
      <c r="L4" s="23">
        <f>SUM(K4*E4)</f>
        <v>379.59999999999997</v>
      </c>
      <c r="M4" s="49">
        <f>SUM(F4-K4)</f>
        <v>-1.7959999999999998</v>
      </c>
      <c r="N4" s="31">
        <f t="shared" ref="N4:N13" si="0">SUM(M4/K4)</f>
        <v>-0.47312961011591148</v>
      </c>
    </row>
    <row r="5" spans="1:14" x14ac:dyDescent="0.45">
      <c r="A5" s="88"/>
      <c r="B5" s="3" t="s">
        <v>42</v>
      </c>
      <c r="C5" s="3">
        <v>1.8</v>
      </c>
      <c r="D5" s="7">
        <f>SUM(C5*1.58)</f>
        <v>2.8440000000000003</v>
      </c>
      <c r="E5" s="21">
        <v>100</v>
      </c>
      <c r="F5" s="8">
        <v>2.2000000000000002</v>
      </c>
      <c r="G5" s="9">
        <f t="shared" ref="G5:G12" si="1">SUM(D5*E5)</f>
        <v>284.40000000000003</v>
      </c>
      <c r="H5" s="10">
        <f t="shared" ref="H5:H13" si="2">SUM(E5*F5)</f>
        <v>220.00000000000003</v>
      </c>
      <c r="I5" s="10"/>
      <c r="J5" s="20">
        <v>5.85</v>
      </c>
      <c r="K5" s="19">
        <f t="shared" ref="K5:K13" si="3">SUM(J5*0.73)</f>
        <v>4.2704999999999993</v>
      </c>
      <c r="L5" s="23">
        <f>SUM(K5*E5)</f>
        <v>427.04999999999995</v>
      </c>
      <c r="M5" s="49">
        <f>SUM(F5-K5)</f>
        <v>-2.0704999999999991</v>
      </c>
      <c r="N5" s="31">
        <f t="shared" si="0"/>
        <v>-0.48483784100222443</v>
      </c>
    </row>
    <row r="6" spans="1:14" x14ac:dyDescent="0.45">
      <c r="A6" s="88"/>
      <c r="B6" s="3" t="s">
        <v>42</v>
      </c>
      <c r="C6" s="3">
        <v>500</v>
      </c>
      <c r="D6" s="7">
        <v>39.200000000000003</v>
      </c>
      <c r="E6" s="21">
        <v>100</v>
      </c>
      <c r="F6" s="8">
        <v>47.9</v>
      </c>
      <c r="G6" s="9">
        <f t="shared" ref="G6" si="4">SUM(D6*E6)</f>
        <v>3920.0000000000005</v>
      </c>
      <c r="H6" s="10">
        <f t="shared" ref="H6" si="5">SUM(E6*F6)</f>
        <v>4790</v>
      </c>
      <c r="I6" s="10"/>
      <c r="J6" s="20">
        <v>128.94999999999999</v>
      </c>
      <c r="K6" s="19">
        <f t="shared" si="3"/>
        <v>94.133499999999984</v>
      </c>
      <c r="L6" s="23">
        <f>SUM(K6*E6)</f>
        <v>9413.3499999999985</v>
      </c>
      <c r="M6" s="49">
        <f>SUM(F6-K6)</f>
        <v>-46.233499999999985</v>
      </c>
      <c r="N6" s="31">
        <f t="shared" si="0"/>
        <v>-0.49114820972342466</v>
      </c>
    </row>
    <row r="7" spans="1:14" x14ac:dyDescent="0.45">
      <c r="A7" s="88"/>
      <c r="B7" s="3" t="s">
        <v>42</v>
      </c>
      <c r="C7" s="3">
        <v>500</v>
      </c>
      <c r="D7" s="7">
        <v>45</v>
      </c>
      <c r="E7" s="21">
        <v>100</v>
      </c>
      <c r="F7" s="8">
        <v>31.3</v>
      </c>
      <c r="G7" s="9">
        <f t="shared" si="1"/>
        <v>4500</v>
      </c>
      <c r="H7" s="10">
        <f t="shared" si="2"/>
        <v>3130</v>
      </c>
      <c r="I7" s="10"/>
      <c r="J7" s="20">
        <v>84</v>
      </c>
      <c r="K7" s="19">
        <f t="shared" si="3"/>
        <v>61.32</v>
      </c>
      <c r="L7" s="23">
        <f>SUM(K7*E7)</f>
        <v>6132</v>
      </c>
      <c r="M7" s="49">
        <f>SUM(F7-K7)</f>
        <v>-30.02</v>
      </c>
      <c r="N7" s="31">
        <f t="shared" si="0"/>
        <v>-0.48956294846705806</v>
      </c>
    </row>
    <row r="8" spans="1:14" x14ac:dyDescent="0.45">
      <c r="A8" s="88"/>
      <c r="B8" s="3" t="s">
        <v>42</v>
      </c>
      <c r="C8" s="3">
        <v>500</v>
      </c>
      <c r="D8" s="7">
        <v>45</v>
      </c>
      <c r="E8" s="21">
        <v>100</v>
      </c>
      <c r="F8" s="8">
        <v>29.5</v>
      </c>
      <c r="G8" s="9">
        <f t="shared" si="1"/>
        <v>4500</v>
      </c>
      <c r="H8" s="10">
        <f t="shared" si="2"/>
        <v>2950</v>
      </c>
      <c r="I8" s="10"/>
      <c r="J8" s="20">
        <v>84</v>
      </c>
      <c r="K8" s="19">
        <f t="shared" si="3"/>
        <v>61.32</v>
      </c>
      <c r="L8" s="23">
        <f>SUM(K8*E8)</f>
        <v>6132</v>
      </c>
      <c r="M8" s="49">
        <f>SUM(F8-K8)</f>
        <v>-31.82</v>
      </c>
      <c r="N8" s="31">
        <f t="shared" si="0"/>
        <v>-0.51891715590345733</v>
      </c>
    </row>
    <row r="9" spans="1:14" x14ac:dyDescent="0.45">
      <c r="A9" s="88"/>
      <c r="B9" s="3" t="s">
        <v>42</v>
      </c>
      <c r="C9" s="3">
        <v>500</v>
      </c>
      <c r="D9" s="7">
        <v>45</v>
      </c>
      <c r="E9" s="21">
        <v>100</v>
      </c>
      <c r="F9" s="8">
        <v>47.9</v>
      </c>
      <c r="G9" s="9">
        <f t="shared" si="1"/>
        <v>4500</v>
      </c>
      <c r="H9" s="10">
        <f t="shared" si="2"/>
        <v>4790</v>
      </c>
      <c r="I9" s="10"/>
      <c r="J9" s="20">
        <v>91</v>
      </c>
      <c r="K9" s="19">
        <f t="shared" si="3"/>
        <v>66.429999999999993</v>
      </c>
      <c r="L9" s="23">
        <f>SUM(K9*E9)</f>
        <v>6642.9999999999991</v>
      </c>
      <c r="M9" s="49">
        <f>SUM(F9-K9)</f>
        <v>-18.529999999999994</v>
      </c>
      <c r="N9" s="31">
        <f t="shared" si="0"/>
        <v>-0.27894023784434735</v>
      </c>
    </row>
    <row r="10" spans="1:14" x14ac:dyDescent="0.45">
      <c r="A10" s="88"/>
      <c r="B10" s="3" t="s">
        <v>42</v>
      </c>
      <c r="C10" s="3">
        <v>500</v>
      </c>
      <c r="D10" s="7">
        <v>45</v>
      </c>
      <c r="E10" s="21">
        <v>100</v>
      </c>
      <c r="F10" s="8">
        <v>44.5</v>
      </c>
      <c r="G10" s="9">
        <f t="shared" si="1"/>
        <v>4500</v>
      </c>
      <c r="H10" s="10">
        <f t="shared" si="2"/>
        <v>4450</v>
      </c>
      <c r="I10" s="10"/>
      <c r="J10" s="20">
        <v>91</v>
      </c>
      <c r="K10" s="19">
        <f t="shared" si="3"/>
        <v>66.429999999999993</v>
      </c>
      <c r="L10" s="23">
        <f>SUM(K10*E10)</f>
        <v>6642.9999999999991</v>
      </c>
      <c r="M10" s="49">
        <f>SUM(F10-K10)</f>
        <v>-21.929999999999993</v>
      </c>
      <c r="N10" s="31">
        <f t="shared" si="0"/>
        <v>-0.33012193286165881</v>
      </c>
    </row>
    <row r="11" spans="1:14" x14ac:dyDescent="0.45">
      <c r="A11" s="88"/>
      <c r="B11" s="3" t="s">
        <v>42</v>
      </c>
      <c r="C11" s="3">
        <v>1.65</v>
      </c>
      <c r="D11" s="7">
        <v>2.6</v>
      </c>
      <c r="E11" s="21">
        <v>100</v>
      </c>
      <c r="F11" s="8">
        <v>2.9</v>
      </c>
      <c r="G11" s="9">
        <f t="shared" si="1"/>
        <v>260</v>
      </c>
      <c r="H11" s="10">
        <f t="shared" si="2"/>
        <v>290</v>
      </c>
      <c r="I11" s="10"/>
      <c r="J11" s="20">
        <v>8.8000000000000007</v>
      </c>
      <c r="K11" s="19">
        <f t="shared" si="3"/>
        <v>6.4240000000000004</v>
      </c>
      <c r="L11" s="23">
        <f>SUM(K11*E11)</f>
        <v>642.40000000000009</v>
      </c>
      <c r="M11" s="49">
        <f>SUM(F11-K11)</f>
        <v>-3.5240000000000005</v>
      </c>
      <c r="N11" s="31">
        <f t="shared" si="0"/>
        <v>-0.54856787048567879</v>
      </c>
    </row>
    <row r="12" spans="1:14" x14ac:dyDescent="0.45">
      <c r="A12" s="88"/>
      <c r="B12" s="3" t="s">
        <v>42</v>
      </c>
      <c r="C12" s="3">
        <v>1.8</v>
      </c>
      <c r="D12" s="7">
        <v>2.85</v>
      </c>
      <c r="E12" s="21">
        <v>100</v>
      </c>
      <c r="F12" s="8">
        <v>3.2</v>
      </c>
      <c r="G12" s="9">
        <f t="shared" si="1"/>
        <v>285</v>
      </c>
      <c r="H12" s="10">
        <f t="shared" si="2"/>
        <v>320</v>
      </c>
      <c r="I12" s="10"/>
      <c r="J12" s="20">
        <v>8.8000000000000007</v>
      </c>
      <c r="K12" s="19">
        <f t="shared" si="3"/>
        <v>6.4240000000000004</v>
      </c>
      <c r="L12" s="23">
        <f>SUM(K12*E12)</f>
        <v>642.40000000000009</v>
      </c>
      <c r="M12" s="49">
        <f>SUM(F12-K12)</f>
        <v>-3.2240000000000002</v>
      </c>
      <c r="N12" s="31">
        <f t="shared" si="0"/>
        <v>-0.50186799501867996</v>
      </c>
    </row>
    <row r="13" spans="1:14" x14ac:dyDescent="0.45">
      <c r="A13" s="88"/>
      <c r="B13" s="3" t="s">
        <v>42</v>
      </c>
      <c r="C13" s="3">
        <v>1</v>
      </c>
      <c r="D13" s="7">
        <v>7.3330000000000002</v>
      </c>
      <c r="E13" s="21">
        <v>1000</v>
      </c>
      <c r="F13" s="8">
        <v>38.9</v>
      </c>
      <c r="G13" s="9">
        <f>SUM(E13*D13)</f>
        <v>7333</v>
      </c>
      <c r="H13" s="10">
        <f t="shared" si="2"/>
        <v>38900</v>
      </c>
      <c r="I13" s="10"/>
      <c r="J13" s="20">
        <v>44.5</v>
      </c>
      <c r="K13" s="19">
        <f t="shared" si="3"/>
        <v>32.484999999999999</v>
      </c>
      <c r="L13" s="23">
        <f>SUM(K13*E13)</f>
        <v>32485</v>
      </c>
      <c r="M13" s="49">
        <f>SUM(F13-K13)</f>
        <v>6.4149999999999991</v>
      </c>
      <c r="N13" s="31">
        <f t="shared" si="0"/>
        <v>0.19747575804217329</v>
      </c>
    </row>
    <row r="14" spans="1:14" x14ac:dyDescent="0.45">
      <c r="B14" s="33" t="s">
        <v>37</v>
      </c>
      <c r="C14" s="3"/>
      <c r="D14" s="3"/>
      <c r="E14" s="3"/>
      <c r="F14" s="33"/>
      <c r="G14" s="34">
        <f>SUM(G4:G13)</f>
        <v>30343.1</v>
      </c>
      <c r="H14" s="35">
        <f>SUM(H4:H13)</f>
        <v>60040</v>
      </c>
      <c r="I14" s="36"/>
      <c r="J14" s="37"/>
      <c r="K14" s="38">
        <f>SUM(L4:L13)</f>
        <v>69539.8</v>
      </c>
      <c r="L14" s="49"/>
      <c r="M14" s="31"/>
    </row>
    <row r="15" spans="1:14" x14ac:dyDescent="0.45">
      <c r="B15" s="2"/>
      <c r="C15" s="2"/>
      <c r="D15" s="2"/>
      <c r="E15" s="2"/>
      <c r="F15" s="2"/>
      <c r="G15" s="47"/>
      <c r="H15" s="48"/>
      <c r="I15" s="48"/>
      <c r="J15" s="2"/>
      <c r="K15" s="2"/>
    </row>
    <row r="16" spans="1:14" ht="47.25" customHeight="1" x14ac:dyDescent="0.45">
      <c r="A16" s="87" t="s">
        <v>34</v>
      </c>
      <c r="B16" s="39" t="s">
        <v>20</v>
      </c>
      <c r="C16" s="15" t="s">
        <v>19</v>
      </c>
      <c r="D16" s="15" t="s">
        <v>25</v>
      </c>
      <c r="E16" s="15" t="s">
        <v>26</v>
      </c>
      <c r="F16" s="15" t="s">
        <v>27</v>
      </c>
      <c r="G16" s="16" t="s">
        <v>28</v>
      </c>
      <c r="H16" s="17" t="s">
        <v>24</v>
      </c>
      <c r="I16" s="17" t="s">
        <v>21</v>
      </c>
      <c r="J16" s="2"/>
      <c r="K16" s="2"/>
    </row>
    <row r="17" spans="1:12" x14ac:dyDescent="0.45">
      <c r="A17" s="87"/>
      <c r="B17" s="3" t="s">
        <v>22</v>
      </c>
      <c r="C17" s="3">
        <v>27600</v>
      </c>
      <c r="D17" s="3">
        <v>3750</v>
      </c>
      <c r="E17" s="12">
        <f>SUM($G$14/C17)</f>
        <v>1.0993876811594203</v>
      </c>
      <c r="F17" s="10">
        <v>4206</v>
      </c>
      <c r="G17" s="11">
        <f>SUM(C17:D17)*E17</f>
        <v>34465.80380434783</v>
      </c>
      <c r="H17" s="14">
        <f>SUM(E17*F17)</f>
        <v>4624.0245869565215</v>
      </c>
      <c r="I17" s="18">
        <v>15</v>
      </c>
      <c r="J17" s="2"/>
      <c r="K17" s="2"/>
    </row>
    <row r="18" spans="1:12" x14ac:dyDescent="0.45">
      <c r="A18" s="87"/>
      <c r="B18" s="3" t="s">
        <v>23</v>
      </c>
      <c r="C18" s="3">
        <v>25000</v>
      </c>
      <c r="D18" s="3">
        <v>1400</v>
      </c>
      <c r="E18" s="12">
        <f>SUM($G$14/C18)</f>
        <v>1.213724</v>
      </c>
      <c r="F18" s="10">
        <v>2206</v>
      </c>
      <c r="G18" s="11">
        <f>SUM(C18:D18)*E18</f>
        <v>32042.313600000001</v>
      </c>
      <c r="H18" s="14">
        <f>SUM(E18*F18)</f>
        <v>2677.475144</v>
      </c>
      <c r="I18" s="18">
        <v>15</v>
      </c>
      <c r="J18" s="2"/>
      <c r="K18" s="2"/>
    </row>
    <row r="19" spans="1:12" ht="4.5" customHeight="1" x14ac:dyDescent="0.45">
      <c r="A19" s="40"/>
      <c r="B19" s="3"/>
      <c r="C19" s="3"/>
      <c r="D19" s="3"/>
      <c r="E19" s="12"/>
      <c r="F19" s="10"/>
      <c r="G19" s="11"/>
      <c r="H19" s="14"/>
      <c r="I19" s="18"/>
      <c r="J19" s="3"/>
      <c r="K19" s="3"/>
    </row>
    <row r="20" spans="1:12" x14ac:dyDescent="0.45">
      <c r="B20" s="2"/>
      <c r="C20" s="41" t="s">
        <v>17</v>
      </c>
      <c r="D20" s="43" t="s">
        <v>14</v>
      </c>
      <c r="E20" s="2"/>
      <c r="F20" s="2"/>
      <c r="G20" s="2"/>
      <c r="H20" s="2"/>
      <c r="I20" s="2"/>
      <c r="J20" s="2"/>
      <c r="K20" s="2"/>
      <c r="L20" s="2"/>
    </row>
    <row r="21" spans="1:12" x14ac:dyDescent="0.45">
      <c r="A21" s="87" t="s">
        <v>36</v>
      </c>
      <c r="B21" s="1" t="s">
        <v>31</v>
      </c>
      <c r="C21" s="24">
        <f>SUM(D21*1.35)</f>
        <v>84668.591444399994</v>
      </c>
      <c r="D21" s="44">
        <f>SUM(H14+H18)</f>
        <v>62717.475143999996</v>
      </c>
    </row>
    <row r="22" spans="1:12" x14ac:dyDescent="0.45">
      <c r="A22" s="87"/>
      <c r="B22" s="1" t="s">
        <v>38</v>
      </c>
      <c r="C22" s="26">
        <f t="shared" ref="C22:C26" si="6">SUM(D22*1.35)</f>
        <v>93878.73000000001</v>
      </c>
      <c r="D22" s="45">
        <f>SUM(K14)</f>
        <v>69539.8</v>
      </c>
    </row>
    <row r="23" spans="1:12" x14ac:dyDescent="0.45">
      <c r="A23" s="87"/>
      <c r="B23" s="1" t="s">
        <v>32</v>
      </c>
      <c r="C23" s="22">
        <f t="shared" si="6"/>
        <v>9210.1385556000096</v>
      </c>
      <c r="D23" s="46">
        <f>SUM(D22-D21)</f>
        <v>6822.3248560000065</v>
      </c>
    </row>
    <row r="24" spans="1:12" x14ac:dyDescent="0.45">
      <c r="A24" s="87"/>
      <c r="B24" s="1" t="s">
        <v>33</v>
      </c>
      <c r="C24" s="22">
        <f t="shared" si="6"/>
        <v>4605.0692778000048</v>
      </c>
      <c r="D24" s="46">
        <f>SUM(D23/2)</f>
        <v>3411.1624280000033</v>
      </c>
      <c r="E24" s="27">
        <f>SUM(D24/D22)</f>
        <v>4.9053382782234103E-2</v>
      </c>
    </row>
    <row r="25" spans="1:12" x14ac:dyDescent="0.45">
      <c r="A25" s="87"/>
      <c r="B25" s="1" t="s">
        <v>39</v>
      </c>
      <c r="C25" s="26">
        <f t="shared" si="6"/>
        <v>89273.660722200017</v>
      </c>
      <c r="D25" s="45">
        <f>SUM(D21+D26)</f>
        <v>66128.637572000007</v>
      </c>
      <c r="E25" s="31"/>
    </row>
    <row r="26" spans="1:12" x14ac:dyDescent="0.45">
      <c r="A26" s="87"/>
      <c r="B26" s="1" t="s">
        <v>40</v>
      </c>
      <c r="C26" s="24">
        <f t="shared" si="6"/>
        <v>4605.0692778000048</v>
      </c>
      <c r="D26" s="44">
        <f>SUM(D23/2)</f>
        <v>3411.1624280000033</v>
      </c>
      <c r="E26" s="25">
        <f>SUM(D26/D21)</f>
        <v>5.4389345555890728E-2</v>
      </c>
    </row>
  </sheetData>
  <mergeCells count="3">
    <mergeCell ref="A16:A18"/>
    <mergeCell ref="A4:A13"/>
    <mergeCell ref="A21:A26"/>
  </mergeCells>
  <hyperlinks>
    <hyperlink ref="B16" r:id="rId1" xr:uid="{00000000-0004-0000-0100-000000000000}"/>
  </hyperlinks>
  <pageMargins left="0.7" right="0.7" top="0.75" bottom="0.75" header="0.3" footer="0.3"/>
  <pageSetup scale="51"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Cost Model</vt:lpstr>
      <vt:lpstr>Landed Cost Study</vt:lpstr>
      <vt:lpstr>'Landed Cost Study'!Print_Area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Steve Eagle</cp:lastModifiedBy>
  <dcterms:created xsi:type="dcterms:W3CDTF">2018-02-28T10:24:43Z</dcterms:created>
  <dcterms:modified xsi:type="dcterms:W3CDTF">2019-07-11T01:13:52Z</dcterms:modified>
</cp:coreProperties>
</file>